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80" windowWidth="9165" windowHeight="4875" activeTab="0"/>
  </bookViews>
  <sheets>
    <sheet name="GS Court" sheetId="1" r:id="rId1"/>
    <sheet name="MAGISTRATE COURT" sheetId="2" r:id="rId2"/>
    <sheet name="MUNICIPAL COURT" sheetId="3" r:id="rId3"/>
    <sheet name="OFTEN USED" sheetId="4" r:id="rId4"/>
    <sheet name="HISTORY " sheetId="5" r:id="rId5"/>
  </sheets>
  <definedNames>
    <definedName name="_xlnm.Print_Area" localSheetId="0">'GS Court'!$A$1:$U$52</definedName>
    <definedName name="_xlnm.Print_Area" localSheetId="1">'MAGISTRATE COURT'!$A$1:$AG$45</definedName>
    <definedName name="_xlnm.Print_Area" localSheetId="3">'OFTEN USED'!$A$1:$O$72</definedName>
  </definedNames>
  <calcPr fullCalcOnLoad="1"/>
</workbook>
</file>

<file path=xl/comments2.xml><?xml version="1.0" encoding="utf-8"?>
<comments xmlns="http://schemas.openxmlformats.org/spreadsheetml/2006/main">
  <authors>
    <author>tleverette</author>
  </authors>
  <commentList>
    <comment ref="A4" authorId="0">
      <text>
        <r>
          <rPr>
            <b/>
            <sz val="8"/>
            <rFont val="Tahoma"/>
            <family val="0"/>
          </rPr>
          <t>IF BOND ESTREATEMENT ENTER TOTAL BOND AMOUNT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tleverette</author>
  </authors>
  <commentList>
    <comment ref="A4" authorId="0">
      <text>
        <r>
          <rPr>
            <b/>
            <sz val="8"/>
            <rFont val="Tahoma"/>
            <family val="0"/>
          </rPr>
          <t>IF BOND ESTREATEMENT ENTER TOTAL BOND AMOUNT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<sst xmlns="http://schemas.openxmlformats.org/spreadsheetml/2006/main" count="727" uniqueCount="292">
  <si>
    <t>STATE GENERAL FUND</t>
  </si>
  <si>
    <t>COUNTY GENERAL FUND</t>
  </si>
  <si>
    <t>SOLICITORS OFFICE</t>
  </si>
  <si>
    <t>STATE ATTORNEY GENERAL</t>
  </si>
  <si>
    <t>PART OF FINE GOES TO</t>
  </si>
  <si>
    <t>STATE TRANSPORT POLICE</t>
  </si>
  <si>
    <t>PUBLIC SERVICE COMMISSION</t>
  </si>
  <si>
    <t>TRAFFIC VIOLATION</t>
  </si>
  <si>
    <t>CRIMINAL VIOLATION</t>
  </si>
  <si>
    <t>INSURANCE FRAUD</t>
  </si>
  <si>
    <t>GAME OR FISH LAW VIOLATIONS</t>
  </si>
  <si>
    <t>AXLE WEIGHT VIOLATIONS</t>
  </si>
  <si>
    <t>CARRIERS OF HOUSEHOLD GOODS &amp; HAZARDOUS WASTE</t>
  </si>
  <si>
    <t>FRAUDULENT CHECK</t>
  </si>
  <si>
    <t>BOND ESTREATMENTS</t>
  </si>
  <si>
    <t>CRUELTY TO ANIMALS</t>
  </si>
  <si>
    <t>$100.00 VICTIM FUND</t>
  </si>
  <si>
    <t>HUMANE SOCIETY</t>
  </si>
  <si>
    <t>DEPARTMENT OF NATURAL RESOURCES</t>
  </si>
  <si>
    <t>NUMBER OF INSTALLMENTS PAYMENTS</t>
  </si>
  <si>
    <t>MAGISTRATE COURT FINE</t>
  </si>
  <si>
    <t>COUNTY ORDINANCE VIOLATIONS</t>
  </si>
  <si>
    <t>CITY ORDINANCE VIOLATIONS</t>
  </si>
  <si>
    <t>FROM</t>
  </si>
  <si>
    <t>TO</t>
  </si>
  <si>
    <t>COLLECT ASSESSMENT OF</t>
  </si>
  <si>
    <t>HALL OF FAME 23-23-70 (HF)</t>
  </si>
  <si>
    <t>JANUARY 1, 1970 TO JANUARY 1, 1995</t>
  </si>
  <si>
    <t>ON FINES OF</t>
  </si>
  <si>
    <t>CRIMINAL JUSTICE ACADEMY 23-23-70 (CJA)</t>
  </si>
  <si>
    <t>JANUARY 1, 1971 TO JANUARY 1, 1978</t>
  </si>
  <si>
    <t>&amp; UP</t>
  </si>
  <si>
    <t>JANUARY 1, 1978 TO JULY 1, 1984</t>
  </si>
  <si>
    <t>JULY 1, 1984 TO JULY 1, 1998</t>
  </si>
  <si>
    <t>JULY 1, 1998 TO JANUARY 1, 1995</t>
  </si>
  <si>
    <t>COMMUNITY CORRECTIONS ASSESSMENT 24-23-210(A) (C.C.A.)</t>
  </si>
  <si>
    <t>JUNE 15, 1981 to JUNE 22, 1987</t>
  </si>
  <si>
    <t>JUNE 22, 1987 TO JULY 1, 1991</t>
  </si>
  <si>
    <t>JULY 1, 1991 TO JANUARY 1, 1995</t>
  </si>
  <si>
    <t xml:space="preserve">NOTE: DO NOT COLLECT THIS ASSESSMENT ON </t>
  </si>
  <si>
    <t xml:space="preserve">           NON-MOVING TRAFFIC VIOLATIONS</t>
  </si>
  <si>
    <t>LOCAL CORRECTIONAL FACILITY ASSESSMENT14-1-210(I) (LCF)</t>
  </si>
  <si>
    <t>JULY 1, 1985 TO JUNE 25, 1990</t>
  </si>
  <si>
    <t>ALL TRAFFIC &amp; CRIMINAL CONVICTIONS</t>
  </si>
  <si>
    <t>JUNE 25, 1990 TO JUNE 30, 1991</t>
  </si>
  <si>
    <t>JUNE 30, 1991 TO JANUARY 1, 1995</t>
  </si>
  <si>
    <t>NON MOVING TRAFFIC CONVICTIONS</t>
  </si>
  <si>
    <t>MOVING TRAFFIC &amp; CRIMINAL CONVICTIONS</t>
  </si>
  <si>
    <t>NOTE: MAY BE SUSPENDED ON CONVICTION OF EXPIRED</t>
  </si>
  <si>
    <t xml:space="preserve">           TAG (56-3-840)  &amp; EXPIRED INSPECTION STICKER</t>
  </si>
  <si>
    <t xml:space="preserve">           DO NOT COLLECT ON VIOLATIONS OF CITY AND </t>
  </si>
  <si>
    <t xml:space="preserve">           COUNTY ORDINANCES</t>
  </si>
  <si>
    <t>CHEMICAL TEST OF BREATH / BLOOD / URINE FOR DUI 56-5-2950 (SLED)</t>
  </si>
  <si>
    <t>DECEMBER 31, 1987 to JANUARY 1, 1995</t>
  </si>
  <si>
    <t>ON CONVICTION OF DUI AFTER TEST</t>
  </si>
  <si>
    <t>ON CONVICTION OF DUI NO TEST GIVEN</t>
  </si>
  <si>
    <t>ON CONVICTION OF TEST REFUSED</t>
  </si>
  <si>
    <t>LITTERING 16-11-700(E)(6) (LIT)</t>
  </si>
  <si>
    <t>MAY 27, 1991 TO JANUARY 1, 1995</t>
  </si>
  <si>
    <t>ON CONVICTION OF LITTERING</t>
  </si>
  <si>
    <t>NOTE: PUBLIC SERVICE IS REQUIRED FOR CONVICTIONS</t>
  </si>
  <si>
    <t>STATE HIGHWAY FUND 56-5-1520(F)  (HP)</t>
  </si>
  <si>
    <t>JANUARY 1, 1989 TO JANUARY 1995</t>
  </si>
  <si>
    <t xml:space="preserve">NOTE: ON CONVICTIONS OF SPEEDING IN EXCESS OF 15 </t>
  </si>
  <si>
    <t xml:space="preserve">           MPH ABOVE SPEED LIMIT $5.00 OF FINE GOES TO</t>
  </si>
  <si>
    <t xml:space="preserve">           TO HIGHWAY FUND.</t>
  </si>
  <si>
    <t>STATE WENT TO STRAIGHT % ASSESSMENT ON JANUARY 1, 1995</t>
  </si>
  <si>
    <t>REPLACING ALL THE ABOVE ASSESSMENTS</t>
  </si>
  <si>
    <t>JANUARY 1, 1995 TO JULY 1, 1977</t>
  </si>
  <si>
    <t>%</t>
  </si>
  <si>
    <t>GENERAL SESSIONS COURT</t>
  </si>
  <si>
    <t>ALL TO STATE</t>
  </si>
  <si>
    <t>§ 14-1-206</t>
  </si>
  <si>
    <t>MAGISTRATE COURT</t>
  </si>
  <si>
    <t>§ 14-1-207</t>
  </si>
  <si>
    <t>MUNICIPAL COURT</t>
  </si>
  <si>
    <t>§ 14-1-208</t>
  </si>
  <si>
    <t>NOTE: COLLECTED ON ALL FINES IMPOSED INCLUDING</t>
  </si>
  <si>
    <t xml:space="preserve">            COUNTY AND MUNICIPAL ORDINANCE VIOLATIONS </t>
  </si>
  <si>
    <t xml:space="preserve">           </t>
  </si>
  <si>
    <t>JULY 1, 1977 TO JUNE 29, 1998</t>
  </si>
  <si>
    <t>COUNTY RETAINS FOR VICTIM FUND</t>
  </si>
  <si>
    <t>STATE TREASURER RECEIVES</t>
  </si>
  <si>
    <t>ADDITIONAL ASSESSMENTS:</t>
  </si>
  <si>
    <t>CONVICTION SURCHARGE ON CRIMINAL CONVICTIONS</t>
  </si>
  <si>
    <t>§ 14-1-211</t>
  </si>
  <si>
    <t xml:space="preserve">DUI CONVICTION SURCHARGE </t>
  </si>
  <si>
    <t>§ 56-5-2995</t>
  </si>
  <si>
    <t>COLLECTION FEE FOR PAYMENTS IN INSTALLMENTS</t>
  </si>
  <si>
    <t>18.75 %</t>
  </si>
  <si>
    <t>81.25 %</t>
  </si>
  <si>
    <t>ADDITIONAL ASSESSMENTS::</t>
  </si>
  <si>
    <t>JUNE 29, 1998 TO OCTOBER 1, 2001</t>
  </si>
  <si>
    <t>§ 14-1-206(A)</t>
  </si>
  <si>
    <t>§ 14-17-725</t>
  </si>
  <si>
    <t>VICTIM SURCHARGE EFFECTIVE JUNE 8, 1998</t>
  </si>
  <si>
    <t>14-1-211</t>
  </si>
  <si>
    <t>§ 14-1-208(B)</t>
  </si>
  <si>
    <t>16.22 %</t>
  </si>
  <si>
    <t>83.78 %</t>
  </si>
  <si>
    <t>OCTOBER 1, 2001 TO</t>
  </si>
  <si>
    <t>MUSC SURCHARGE</t>
  </si>
  <si>
    <t>§ 14-1-211 (A)(2)</t>
  </si>
  <si>
    <t>OFFENSE</t>
  </si>
  <si>
    <t>TOO FAST FOR CONDITIONS</t>
  </si>
  <si>
    <t>DRIVING LEFT OF CENTER</t>
  </si>
  <si>
    <t>RECKLESS DRIVING 1ST OFF.</t>
  </si>
  <si>
    <t>DISREGARDING TRAFFIC CONTROL DEVICE</t>
  </si>
  <si>
    <t>CODE SECTION</t>
  </si>
  <si>
    <t>56-5-1520</t>
  </si>
  <si>
    <t>56-5-1810</t>
  </si>
  <si>
    <t>56-5-2330</t>
  </si>
  <si>
    <t>56-5-1850</t>
  </si>
  <si>
    <t>56-5-1900</t>
  </si>
  <si>
    <t>56-5-2110</t>
  </si>
  <si>
    <t>56-5-2120</t>
  </si>
  <si>
    <t>56-5-2920</t>
  </si>
  <si>
    <t>56-5-950</t>
  </si>
  <si>
    <t>PENALTY SECTION</t>
  </si>
  <si>
    <t>56-5-1520 (G)</t>
  </si>
  <si>
    <t>56-5-6190</t>
  </si>
  <si>
    <t>REQUESTED MINIMUM BOND</t>
  </si>
  <si>
    <t>SEND COUNTY 100 % FINE</t>
  </si>
  <si>
    <t>ASSESSMENT TO COUNTY VICTIM FUND 12%</t>
  </si>
  <si>
    <t>ASSESSMENT TO STATE TREASURER 88%</t>
  </si>
  <si>
    <t>ASSESSMENT TO STATE TREASURER 7.5%</t>
  </si>
  <si>
    <t xml:space="preserve">TOTAL ASSESSMENT 107.5% </t>
  </si>
  <si>
    <t>MINIMUM FINE</t>
  </si>
  <si>
    <t>107.5% ASSESSMENT</t>
  </si>
  <si>
    <t>MAXIMUM FINE</t>
  </si>
  <si>
    <t>SPILLING LOAD</t>
  </si>
  <si>
    <t>DRIVING WITHOUT LIGHTS</t>
  </si>
  <si>
    <t>FAULTY EQUIPMENT</t>
  </si>
  <si>
    <t>OPERATING UNINSURED VEHICLE 1st</t>
  </si>
  <si>
    <t>NO VEHICLE LICENSE</t>
  </si>
  <si>
    <t>EXPIRED TAG MORE THAN 30 DAYS</t>
  </si>
  <si>
    <t>FOLLOWING TOO CLOSELY</t>
  </si>
  <si>
    <t>56-5-4100</t>
  </si>
  <si>
    <t>56-5-4450</t>
  </si>
  <si>
    <t>56-5-5310</t>
  </si>
  <si>
    <t>56-5-6520</t>
  </si>
  <si>
    <t>56-10-260</t>
  </si>
  <si>
    <t>56-3-110</t>
  </si>
  <si>
    <t>56-3-1240</t>
  </si>
  <si>
    <t>56-1-190</t>
  </si>
  <si>
    <t>56-1-20</t>
  </si>
  <si>
    <t>56-5-1930</t>
  </si>
  <si>
    <t>56-1-460</t>
  </si>
  <si>
    <t>56-5-4100(E)</t>
  </si>
  <si>
    <t>56-5-6540</t>
  </si>
  <si>
    <t>56-3-2520</t>
  </si>
  <si>
    <t>56-1-500</t>
  </si>
  <si>
    <t>56-1-440</t>
  </si>
  <si>
    <t>ASSESSMENT TO STATE TREASURER88%</t>
  </si>
  <si>
    <t>ASSESSMENT TO STATE TREASURER7.5%</t>
  </si>
  <si>
    <t>100% ASSESSMENT</t>
  </si>
  <si>
    <t>LEAVING SCENE PROPERTY DAMAGE</t>
  </si>
  <si>
    <t xml:space="preserve">PASSING STOPPED SCHOOL BUS </t>
  </si>
  <si>
    <t>PARKING IN HANDICAP ZONE</t>
  </si>
  <si>
    <t>NO PROOF OF INSURANCE</t>
  </si>
  <si>
    <t>SIMPLE POSSESSION</t>
  </si>
  <si>
    <t>56-5-3810</t>
  </si>
  <si>
    <t>56-5-1260</t>
  </si>
  <si>
    <t>56-5-2770</t>
  </si>
  <si>
    <t>56-9-340</t>
  </si>
  <si>
    <t>56-3-1270</t>
  </si>
  <si>
    <t>56-3-1970</t>
  </si>
  <si>
    <t>56-5-2930</t>
  </si>
  <si>
    <t>20-7-8920</t>
  </si>
  <si>
    <t>44-53-370 (D)</t>
  </si>
  <si>
    <t>56-5-1220</t>
  </si>
  <si>
    <t>56-5-2780</t>
  </si>
  <si>
    <t>56-5-2940</t>
  </si>
  <si>
    <t>20-7-8925</t>
  </si>
  <si>
    <t>44-53-370(D)(3)</t>
  </si>
  <si>
    <t>CONVICTION SURCHARGE + DUI</t>
  </si>
  <si>
    <t>CONVICTION SURCHARGE</t>
  </si>
  <si>
    <t>DUI ASSESSMENT $12.00 &amp; $100.00</t>
  </si>
  <si>
    <t>** GENERAL SESSIONS COURT OFFENSE</t>
  </si>
  <si>
    <t>10.  34-11-70 (B &amp; C) FRAUD CHECK</t>
  </si>
  <si>
    <t>TOTAL FINE</t>
  </si>
  <si>
    <t>TOTAL ASSESSMENTS</t>
  </si>
  <si>
    <t>ASSESSMENT BREAKDOWN</t>
  </si>
  <si>
    <t xml:space="preserve">  9.  50-21-114 BOATING UNDER INFLUENCE</t>
  </si>
  <si>
    <t xml:space="preserve">  8.  14-1-209  3% COLLECTION FEE</t>
  </si>
  <si>
    <t xml:space="preserve">  7.  33.7 (1B) TP DRUG COURT</t>
  </si>
  <si>
    <t xml:space="preserve">  6.  56-5-2995(A) DUI ASSESSMENT</t>
  </si>
  <si>
    <t xml:space="preserve">  5.  14-1-211 DUI MUSC FUND</t>
  </si>
  <si>
    <t xml:space="preserve">  4. 73.3 (D) TP LAW ENFORCEMENT FUNDING</t>
  </si>
  <si>
    <t xml:space="preserve">  3.  14-1-270 VICTIM FUND</t>
  </si>
  <si>
    <t xml:space="preserve">  2.  14-1-207 1.075 % ASSESSMENT</t>
  </si>
  <si>
    <t>$ 25.00 VICTIM FUND</t>
  </si>
  <si>
    <t>$ 25.00 LAW ENFORCEMENT FUNDING</t>
  </si>
  <si>
    <t>$ 100.00 DUI MUSC FUND</t>
  </si>
  <si>
    <t>$ 12.00 DUI ASSESSMENT</t>
  </si>
  <si>
    <t>TOTAL 107.5% ASSESSMENT 51.807228%</t>
  </si>
  <si>
    <t xml:space="preserve"> VIOLATIONS BOATING UNDER INFLUENCE WITH BREATHALYZER</t>
  </si>
  <si>
    <t xml:space="preserve"> VIOLATIONS SECTION 50-21-ALL</t>
  </si>
  <si>
    <t>3% COLLECTION FEE (TO COUNTY)</t>
  </si>
  <si>
    <t>FRAUD CHECK (TO COUNTY)</t>
  </si>
  <si>
    <r>
      <t>11.16% TO VICTIM FUND (TO COUNTY)</t>
    </r>
  </si>
  <si>
    <t>COUNTY GENERAL FUND (TO COUNTY)</t>
  </si>
  <si>
    <t>SIMPLE POSSESSION OF MARIHUANA</t>
  </si>
  <si>
    <t>$100.00 DRUG COURT</t>
  </si>
  <si>
    <t>SINGLE PAYMENT</t>
  </si>
  <si>
    <t>MULTIPLE PAYMENTS</t>
  </si>
  <si>
    <t>BEFORE AUGUST 19, 2003</t>
  </si>
  <si>
    <t>AFTER AUGUST 19, 2003</t>
  </si>
  <si>
    <t>DUI / DUI PER SE</t>
  </si>
  <si>
    <t>TOTAL COLLECTED / PAYMENTS</t>
  </si>
  <si>
    <t>FRAUDULENT CHECK
1ST OFFENSE WITH RESTITUTION DISMISSED</t>
  </si>
  <si>
    <t>$50.00 BOATING BREATH TEST (SLED)</t>
  </si>
  <si>
    <t>$25.00 LAW ENFORCEMENT FUNDING</t>
  </si>
  <si>
    <t>DEPARTMENT OF PUBLIC SAFETY HIGHWAY PATROL</t>
  </si>
  <si>
    <t>35.35% TO VICTIM FUND (TO COUNTY)</t>
  </si>
  <si>
    <t>64.65% TO STATE TREASURER</t>
  </si>
  <si>
    <t>COUNTY GENERAL FUND (TO COUNTY) 56%</t>
  </si>
  <si>
    <t>STATE GENERAL FUND 44%</t>
  </si>
  <si>
    <t>1ST DUI / DUI PER SE</t>
  </si>
  <si>
    <t>3RDST DUI / DUI PER SE</t>
  </si>
  <si>
    <t>2ND DUI / DUI PER SE</t>
  </si>
  <si>
    <t>SLED</t>
  </si>
  <si>
    <t>FELONY DRIVING UNDER INFLUENCE</t>
  </si>
  <si>
    <t>GENERAL SESSIONS COURT FINE</t>
  </si>
  <si>
    <t>DRUG VIOLATIONS</t>
  </si>
  <si>
    <t>GENERAL SESSIONS</t>
  </si>
  <si>
    <t>Nunber  Vehicles</t>
  </si>
  <si>
    <t>Nunber Vehicles</t>
  </si>
  <si>
    <t>Number Vehicles</t>
  </si>
  <si>
    <t>11.  $40.00 VEHICLE TAGS</t>
  </si>
  <si>
    <t>$40.00 VEHICLE TAG CHARGE</t>
  </si>
  <si>
    <t>TOTAL MINIMUM FINE + ASSESSMENT</t>
  </si>
  <si>
    <t>TOTAL MAXIMUM FINE + ASSESSMENT</t>
  </si>
  <si>
    <t>TOTAL MINIMUM FINE + ASSESSMENTS</t>
  </si>
  <si>
    <t>TOTAL MAXIMUM FINE + ASSESSMENTS</t>
  </si>
  <si>
    <t>3% COLLECTION FEE (TO CITY)</t>
  </si>
  <si>
    <t>FRAUD CHECK (TO CITY)</t>
  </si>
  <si>
    <t>11.16% TO VICTIM FUND (TO CITY)</t>
  </si>
  <si>
    <t>CITY GENERAL FUND (TO CITY)</t>
  </si>
  <si>
    <t>MUNICIPAL COURT FINE</t>
  </si>
  <si>
    <t>UPDATED 10/2/2003</t>
  </si>
  <si>
    <t>*** $100.00 of fine goes to DPS</t>
  </si>
  <si>
    <r>
      <t xml:space="preserve">88.84% TO STATE TREASURER </t>
    </r>
    <r>
      <rPr>
        <sz val="9"/>
        <color indexed="10"/>
        <rFont val="Arial"/>
        <family val="2"/>
      </rPr>
      <t>14-1-208</t>
    </r>
  </si>
  <si>
    <r>
      <t xml:space="preserve">88.84% TO STATE TREASURER </t>
    </r>
    <r>
      <rPr>
        <sz val="9"/>
        <color indexed="10"/>
        <rFont val="Arial"/>
        <family val="2"/>
      </rPr>
      <t>14-1-207</t>
    </r>
  </si>
  <si>
    <t>or 30 Day</t>
  </si>
  <si>
    <t>MINOR IN POSSESSION OF BEER / ALCOHOL</t>
  </si>
  <si>
    <t>DRIVING UNDER SUSPENSION</t>
  </si>
  <si>
    <t>NO DRIVERS LICENSE</t>
  </si>
  <si>
    <t>IN POSSESSION</t>
  </si>
  <si>
    <t>ISSUED</t>
  </si>
  <si>
    <t>NO CHILD RESTRAINT</t>
  </si>
  <si>
    <t>VIOLATION OF</t>
  </si>
  <si>
    <t>SEAT BELT LAW</t>
  </si>
  <si>
    <t>IMPROPER</t>
  </si>
  <si>
    <t>BACKING</t>
  </si>
  <si>
    <t>LANE CHANGE</t>
  </si>
  <si>
    <t>START</t>
  </si>
  <si>
    <t>TURN</t>
  </si>
  <si>
    <t xml:space="preserve">SPEEDING </t>
  </si>
  <si>
    <t>25 &amp; OVER</t>
  </si>
  <si>
    <t>16 - 25 MPH</t>
  </si>
  <si>
    <t>11 - 15 MPH</t>
  </si>
  <si>
    <t>1 - 10 MPH</t>
  </si>
  <si>
    <t>FOR FIX PERIOD</t>
  </si>
  <si>
    <t>&amp; 90 Da. 
to 6 Mo.</t>
  </si>
  <si>
    <t>or 60 Day or Both</t>
  </si>
  <si>
    <t>or  10 Da.
 to 30 Da.</t>
  </si>
  <si>
    <t>or 60 Da.
 to 6 Mo.</t>
  </si>
  <si>
    <t>&amp; 6 Mo. To 3 Yr.</t>
  </si>
  <si>
    <t xml:space="preserve">  1 ST
***</t>
  </si>
  <si>
    <t>2 ND
***</t>
  </si>
  <si>
    <t>3 RD
***</t>
  </si>
  <si>
    <t>1 ST
***</t>
  </si>
  <si>
    <t xml:space="preserve"> YIELD RIGHT OF WAY</t>
  </si>
  <si>
    <t>FAIL TO</t>
  </si>
  <si>
    <t>TRANSFER OWNERSHIP 30 DAYS</t>
  </si>
  <si>
    <t>SURRENDER DRIVERS LICENSE</t>
  </si>
  <si>
    <t>DUI 1ST ***</t>
  </si>
  <si>
    <t>DUI 2ND ***</t>
  </si>
  <si>
    <t>All Triable in Sunnary Court</t>
  </si>
  <si>
    <t xml:space="preserve"> FOR DUI</t>
  </si>
  <si>
    <t>General Sessions</t>
  </si>
  <si>
    <t>Sunnary Court</t>
  </si>
  <si>
    <t>PASSING</t>
  </si>
  <si>
    <t>56-5-4610</t>
  </si>
  <si>
    <t>56-5-4650</t>
  </si>
  <si>
    <t>56-5-1520 (F)</t>
  </si>
  <si>
    <t>56-10-225(B)</t>
  </si>
  <si>
    <t>$100.00 Drug Court</t>
  </si>
  <si>
    <r>
      <t>2 ND**</t>
    </r>
    <r>
      <rPr>
        <b/>
        <sz val="10"/>
        <rFont val="Times New Roman"/>
        <family val="0"/>
      </rPr>
      <t xml:space="preserve">
***</t>
    </r>
  </si>
  <si>
    <r>
      <t>3 RD**</t>
    </r>
    <r>
      <rPr>
        <b/>
        <sz val="10"/>
        <rFont val="Times New Roman"/>
        <family val="0"/>
      </rPr>
      <t xml:space="preserve">
***</t>
    </r>
  </si>
  <si>
    <t>SEAT BELT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</si>
</sst>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00_);_(&quot;$&quot;* \(#,##0.000000\);_(&quot;$&quot;* &quot;-&quot;??????_);_(@_)"/>
    <numFmt numFmtId="165" formatCode="_(&quot;$&quot;* #,##0.0000_);_(&quot;$&quot;* \(#,##0.0000\);_(&quot;$&quot;* &quot;-&quot;????_);_(@_)"/>
    <numFmt numFmtId="166" formatCode="_(&quot;$&quot;* #,##0.0000000_);_(&quot;$&quot;* \(#,##0.0000000\);_(&quot;$&quot;* &quot;-&quot;???????_);_(@_)"/>
    <numFmt numFmtId="167" formatCode="_(&quot;$&quot;* #,##0.00000000_);_(&quot;$&quot;* \(#,##0.00000000\);_(&quot;$&quot;* &quot;-&quot;????????_);_(@_)"/>
    <numFmt numFmtId="168" formatCode="_(&quot;$&quot;* #,##0.000000000_);_(&quot;$&quot;* \(#,##0.000000000\);_(&quot;$&quot;* &quot;-&quot;?????????_);_(@_)"/>
    <numFmt numFmtId="169" formatCode="_(&quot;$&quot;* #,##0.00000_);_(&quot;$&quot;* \(#,##0.00000\);_(&quot;$&quot;* &quot;-&quot;?????_);_(@_)"/>
    <numFmt numFmtId="170" formatCode="&quot;$&quot;#,##0.000000000_);[Red]\(&quot;$&quot;#,##0.000000000\)"/>
    <numFmt numFmtId="171" formatCode="#,##0.0000000000_);\(#,##0.0000000000\)"/>
    <numFmt numFmtId="172" formatCode="#,##0.00000000_);\(#,##0.00000000\)"/>
    <numFmt numFmtId="173" formatCode="&quot;$&quot;#,##0.00000000_);[Red]\(&quot;$&quot;#,##0.00000000\)"/>
    <numFmt numFmtId="174" formatCode="_(&quot;$&quot;* #,##0.000000000000000_);_(&quot;$&quot;* \(#,##0.000000000000000\);_(&quot;$&quot;* &quot;-&quot;???????????????_);_(@_)"/>
    <numFmt numFmtId="175" formatCode="&quot;$&quot;#,##0.000000000000000_);[Red]\(&quot;$&quot;#,##0.000000000000000\)"/>
    <numFmt numFmtId="176" formatCode="&quot;$&quot;#,##0.0000000_);[Red]\(&quot;$&quot;#,##0.0000000\)"/>
    <numFmt numFmtId="177" formatCode="#,##0.000000_);[Red]\(#,##0.000000\)"/>
    <numFmt numFmtId="178" formatCode="#,##0.00000_);\(#,##0.00000\)"/>
    <numFmt numFmtId="179" formatCode="&quot;$&quot;#,##0.00000_);\(&quot;$&quot;#,##0.00000\)"/>
    <numFmt numFmtId="180" formatCode="&quot;$&quot;#,##0.000_);[Red]\(&quot;$&quot;#,##0.000\)"/>
    <numFmt numFmtId="181" formatCode="&quot;$&quot;#,##0.00"/>
    <numFmt numFmtId="182" formatCode="_(&quot;$&quot;* #,##0.000_);_(&quot;$&quot;* \(#,##0.000\);_(&quot;$&quot;* &quot;-&quot;???_);_(@_)"/>
    <numFmt numFmtId="183" formatCode="&quot;$&quot;#,##0.0000_);[Red]\(&quot;$&quot;#,##0.0000\)"/>
  </numFmts>
  <fonts count="20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Times New Roman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Times New Roman"/>
      <family val="1"/>
    </font>
    <font>
      <b/>
      <sz val="12"/>
      <name val="Arial"/>
      <family val="2"/>
    </font>
    <font>
      <sz val="10"/>
      <color indexed="43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b/>
      <sz val="8"/>
      <name val="Times New Roman"/>
      <family val="0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slantDashDot"/>
    </border>
    <border>
      <left>
        <color indexed="63"/>
      </left>
      <right>
        <color indexed="63"/>
      </right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slantDashDot"/>
    </border>
    <border>
      <left>
        <color indexed="63"/>
      </left>
      <right style="thick"/>
      <top>
        <color indexed="63"/>
      </top>
      <bottom style="thick"/>
    </border>
    <border>
      <left style="hair"/>
      <right style="hair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thick"/>
      <top>
        <color indexed="63"/>
      </top>
      <bottom style="mediumDashDot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ck"/>
      <top>
        <color indexed="63"/>
      </top>
      <bottom style="mediumDashed"/>
    </border>
    <border>
      <left style="medium"/>
      <right>
        <color indexed="63"/>
      </right>
      <top>
        <color indexed="63"/>
      </top>
      <bottom style="mediumDashed"/>
    </border>
    <border>
      <left>
        <color indexed="63"/>
      </left>
      <right style="medium"/>
      <top>
        <color indexed="63"/>
      </top>
      <bottom style="mediumDashed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Dashed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medium"/>
      <right style="thick"/>
      <top>
        <color indexed="63"/>
      </top>
      <bottom style="mediumDashed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horizontal="center" vertical="center" wrapText="1"/>
    </xf>
    <xf numFmtId="44" fontId="0" fillId="0" borderId="0" xfId="17" applyAlignment="1">
      <alignment/>
    </xf>
    <xf numFmtId="0" fontId="1" fillId="0" borderId="0" xfId="0" applyFont="1" applyAlignment="1">
      <alignment/>
    </xf>
    <xf numFmtId="8" fontId="1" fillId="0" borderId="0" xfId="0" applyNumberFormat="1" applyFont="1" applyAlignment="1">
      <alignment/>
    </xf>
    <xf numFmtId="8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2" fillId="0" borderId="0" xfId="0" applyNumberFormat="1" applyFont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8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8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8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8" fontId="0" fillId="0" borderId="4" xfId="0" applyNumberFormat="1" applyBorder="1" applyAlignment="1">
      <alignment/>
    </xf>
    <xf numFmtId="0" fontId="0" fillId="0" borderId="4" xfId="0" applyBorder="1" applyAlignment="1">
      <alignment horizontal="center"/>
    </xf>
    <xf numFmtId="8" fontId="0" fillId="0" borderId="4" xfId="0" applyNumberFormat="1" applyBorder="1" applyAlignment="1">
      <alignment horizontal="right"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8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0" fillId="0" borderId="5" xfId="0" applyBorder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9" fontId="0" fillId="0" borderId="4" xfId="0" applyNumberFormat="1" applyBorder="1" applyAlignment="1">
      <alignment/>
    </xf>
    <xf numFmtId="0" fontId="3" fillId="0" borderId="0" xfId="0" applyFont="1" applyAlignment="1">
      <alignment horizontal="center"/>
    </xf>
    <xf numFmtId="9" fontId="0" fillId="0" borderId="0" xfId="0" applyNumberFormat="1" applyAlignment="1">
      <alignment/>
    </xf>
    <xf numFmtId="9" fontId="0" fillId="0" borderId="4" xfId="0" applyNumberFormat="1" applyBorder="1" applyAlignment="1" quotePrefix="1">
      <alignment horizontal="right"/>
    </xf>
    <xf numFmtId="9" fontId="0" fillId="0" borderId="0" xfId="0" applyNumberFormat="1" applyBorder="1" applyAlignment="1">
      <alignment/>
    </xf>
    <xf numFmtId="9" fontId="0" fillId="0" borderId="5" xfId="0" applyNumberFormat="1" applyBorder="1" applyAlignment="1">
      <alignment/>
    </xf>
    <xf numFmtId="15" fontId="3" fillId="0" borderId="0" xfId="0" applyNumberFormat="1" applyFont="1" applyAlignment="1">
      <alignment/>
    </xf>
    <xf numFmtId="0" fontId="8" fillId="0" borderId="8" xfId="0" applyFont="1" applyBorder="1" applyAlignment="1">
      <alignment/>
    </xf>
    <xf numFmtId="0" fontId="8" fillId="0" borderId="0" xfId="0" applyFont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8" fontId="8" fillId="0" borderId="0" xfId="0" applyNumberFormat="1" applyFont="1" applyAlignment="1">
      <alignment/>
    </xf>
    <xf numFmtId="8" fontId="8" fillId="0" borderId="9" xfId="0" applyNumberFormat="1" applyFont="1" applyBorder="1" applyAlignment="1">
      <alignment/>
    </xf>
    <xf numFmtId="0" fontId="8" fillId="0" borderId="8" xfId="0" applyFont="1" applyBorder="1" applyAlignment="1">
      <alignment horizontal="left"/>
    </xf>
    <xf numFmtId="8" fontId="8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9" xfId="0" applyFont="1" applyBorder="1" applyAlignment="1">
      <alignment/>
    </xf>
    <xf numFmtId="8" fontId="8" fillId="0" borderId="11" xfId="0" applyNumberFormat="1" applyFont="1" applyBorder="1" applyAlignment="1">
      <alignment horizontal="center"/>
    </xf>
    <xf numFmtId="8" fontId="8" fillId="0" borderId="0" xfId="0" applyNumberFormat="1" applyFont="1" applyAlignment="1">
      <alignment horizontal="right"/>
    </xf>
    <xf numFmtId="0" fontId="8" fillId="0" borderId="7" xfId="0" applyFont="1" applyBorder="1" applyAlignment="1">
      <alignment/>
    </xf>
    <xf numFmtId="8" fontId="8" fillId="0" borderId="7" xfId="0" applyNumberFormat="1" applyFont="1" applyBorder="1" applyAlignment="1">
      <alignment/>
    </xf>
    <xf numFmtId="8" fontId="8" fillId="0" borderId="13" xfId="0" applyNumberFormat="1" applyFont="1" applyBorder="1" applyAlignment="1">
      <alignment/>
    </xf>
    <xf numFmtId="44" fontId="0" fillId="2" borderId="14" xfId="17" applyFill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8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8" fontId="0" fillId="0" borderId="16" xfId="0" applyNumberFormat="1" applyBorder="1" applyAlignment="1">
      <alignment wrapText="1"/>
    </xf>
    <xf numFmtId="0" fontId="11" fillId="0" borderId="11" xfId="0" applyFont="1" applyBorder="1" applyAlignment="1">
      <alignment horizontal="center"/>
    </xf>
    <xf numFmtId="8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8" fontId="0" fillId="0" borderId="14" xfId="0" applyNumberFormat="1" applyBorder="1" applyAlignment="1">
      <alignment/>
    </xf>
    <xf numFmtId="44" fontId="0" fillId="3" borderId="14" xfId="17" applyFill="1" applyBorder="1" applyAlignment="1">
      <alignment/>
    </xf>
    <xf numFmtId="44" fontId="0" fillId="0" borderId="14" xfId="17" applyBorder="1" applyAlignment="1">
      <alignment/>
    </xf>
    <xf numFmtId="44" fontId="0" fillId="0" borderId="17" xfId="17" applyBorder="1" applyAlignment="1">
      <alignment/>
    </xf>
    <xf numFmtId="0" fontId="2" fillId="0" borderId="18" xfId="0" applyFont="1" applyBorder="1" applyAlignment="1">
      <alignment/>
    </xf>
    <xf numFmtId="44" fontId="0" fillId="3" borderId="18" xfId="17" applyFill="1" applyBorder="1" applyAlignment="1">
      <alignment/>
    </xf>
    <xf numFmtId="44" fontId="0" fillId="0" borderId="18" xfId="17" applyBorder="1" applyAlignment="1">
      <alignment/>
    </xf>
    <xf numFmtId="8" fontId="1" fillId="0" borderId="18" xfId="0" applyNumberFormat="1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8" fontId="5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5" fillId="0" borderId="18" xfId="0" applyFont="1" applyBorder="1" applyAlignment="1">
      <alignment/>
    </xf>
    <xf numFmtId="10" fontId="2" fillId="0" borderId="18" xfId="0" applyNumberFormat="1" applyFont="1" applyBorder="1" applyAlignment="1">
      <alignment/>
    </xf>
    <xf numFmtId="44" fontId="0" fillId="0" borderId="18" xfId="17" applyBorder="1" applyAlignment="1">
      <alignment horizontal="left"/>
    </xf>
    <xf numFmtId="44" fontId="0" fillId="3" borderId="18" xfId="17" applyFill="1" applyBorder="1" applyAlignment="1">
      <alignment horizontal="left"/>
    </xf>
    <xf numFmtId="44" fontId="0" fillId="0" borderId="18" xfId="17" applyFont="1" applyBorder="1" applyAlignment="1">
      <alignment horizontal="left"/>
    </xf>
    <xf numFmtId="44" fontId="0" fillId="3" borderId="18" xfId="17" applyFont="1" applyFill="1" applyBorder="1" applyAlignment="1">
      <alignment/>
    </xf>
    <xf numFmtId="44" fontId="0" fillId="0" borderId="18" xfId="17" applyFont="1" applyBorder="1" applyAlignment="1">
      <alignment/>
    </xf>
    <xf numFmtId="44" fontId="4" fillId="3" borderId="18" xfId="17" applyFont="1" applyFill="1" applyBorder="1" applyAlignment="1">
      <alignment/>
    </xf>
    <xf numFmtId="44" fontId="4" fillId="0" borderId="18" xfId="17" applyFont="1" applyBorder="1" applyAlignment="1">
      <alignment/>
    </xf>
    <xf numFmtId="44" fontId="0" fillId="3" borderId="18" xfId="17" applyFont="1" applyFill="1" applyBorder="1" applyAlignment="1">
      <alignment/>
    </xf>
    <xf numFmtId="44" fontId="0" fillId="0" borderId="18" xfId="17" applyFont="1" applyBorder="1" applyAlignment="1">
      <alignment/>
    </xf>
    <xf numFmtId="8" fontId="0" fillId="0" borderId="18" xfId="17" applyNumberFormat="1" applyBorder="1" applyAlignment="1">
      <alignment/>
    </xf>
    <xf numFmtId="0" fontId="0" fillId="0" borderId="18" xfId="0" applyBorder="1" applyAlignment="1">
      <alignment/>
    </xf>
    <xf numFmtId="0" fontId="0" fillId="3" borderId="18" xfId="0" applyFill="1" applyBorder="1" applyAlignment="1">
      <alignment/>
    </xf>
    <xf numFmtId="0" fontId="1" fillId="2" borderId="15" xfId="0" applyFont="1" applyFill="1" applyBorder="1" applyAlignment="1">
      <alignment horizontal="center" vertical="center" wrapText="1"/>
    </xf>
    <xf numFmtId="44" fontId="0" fillId="2" borderId="18" xfId="17" applyFill="1" applyBorder="1" applyAlignment="1">
      <alignment/>
    </xf>
    <xf numFmtId="44" fontId="0" fillId="2" borderId="18" xfId="17" applyFont="1" applyFill="1" applyBorder="1" applyAlignment="1">
      <alignment/>
    </xf>
    <xf numFmtId="0" fontId="0" fillId="2" borderId="18" xfId="0" applyFill="1" applyBorder="1" applyAlignment="1">
      <alignment/>
    </xf>
    <xf numFmtId="44" fontId="0" fillId="3" borderId="17" xfId="17" applyFill="1" applyBorder="1" applyAlignment="1">
      <alignment/>
    </xf>
    <xf numFmtId="8" fontId="12" fillId="0" borderId="16" xfId="0" applyNumberFormat="1" applyFont="1" applyBorder="1" applyAlignment="1">
      <alignment horizontal="center" vertical="center" wrapText="1"/>
    </xf>
    <xf numFmtId="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2" borderId="0" xfId="0" applyFill="1" applyAlignment="1">
      <alignment/>
    </xf>
    <xf numFmtId="0" fontId="13" fillId="2" borderId="0" xfId="0" applyFont="1" applyFill="1" applyAlignment="1">
      <alignment/>
    </xf>
    <xf numFmtId="44" fontId="0" fillId="3" borderId="19" xfId="17" applyFill="1" applyBorder="1" applyAlignment="1">
      <alignment/>
    </xf>
    <xf numFmtId="44" fontId="0" fillId="0" borderId="20" xfId="17" applyBorder="1" applyAlignment="1">
      <alignment/>
    </xf>
    <xf numFmtId="44" fontId="0" fillId="3" borderId="21" xfId="17" applyFill="1" applyBorder="1" applyAlignment="1">
      <alignment/>
    </xf>
    <xf numFmtId="44" fontId="0" fillId="0" borderId="22" xfId="17" applyBorder="1" applyAlignment="1">
      <alignment/>
    </xf>
    <xf numFmtId="8" fontId="0" fillId="3" borderId="18" xfId="17" applyNumberFormat="1" applyFill="1" applyBorder="1" applyAlignment="1">
      <alignment/>
    </xf>
    <xf numFmtId="44" fontId="0" fillId="0" borderId="22" xfId="17" applyFont="1" applyBorder="1" applyAlignment="1">
      <alignment/>
    </xf>
    <xf numFmtId="0" fontId="11" fillId="0" borderId="8" xfId="0" applyFont="1" applyBorder="1" applyAlignment="1">
      <alignment/>
    </xf>
    <xf numFmtId="8" fontId="11" fillId="0" borderId="9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44" fontId="0" fillId="0" borderId="0" xfId="0" applyNumberFormat="1" applyAlignment="1">
      <alignment/>
    </xf>
    <xf numFmtId="0" fontId="3" fillId="4" borderId="0" xfId="0" applyFont="1" applyFill="1" applyAlignment="1" applyProtection="1">
      <alignment horizontal="right"/>
      <protection locked="0"/>
    </xf>
    <xf numFmtId="44" fontId="3" fillId="4" borderId="0" xfId="0" applyNumberFormat="1" applyFont="1" applyFill="1" applyAlignment="1" applyProtection="1">
      <alignment/>
      <protection locked="0"/>
    </xf>
    <xf numFmtId="44" fontId="3" fillId="4" borderId="0" xfId="17" applyFont="1" applyFill="1" applyAlignment="1" applyProtection="1">
      <alignment horizontal="right"/>
      <protection locked="0"/>
    </xf>
    <xf numFmtId="0" fontId="0" fillId="4" borderId="0" xfId="0" applyFill="1" applyAlignment="1" applyProtection="1">
      <alignment/>
      <protection locked="0"/>
    </xf>
    <xf numFmtId="8" fontId="15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right"/>
    </xf>
    <xf numFmtId="44" fontId="0" fillId="5" borderId="18" xfId="17" applyFill="1" applyBorder="1" applyAlignment="1">
      <alignment/>
    </xf>
    <xf numFmtId="8" fontId="0" fillId="5" borderId="18" xfId="17" applyNumberFormat="1" applyFill="1" applyBorder="1" applyAlignment="1">
      <alignment/>
    </xf>
    <xf numFmtId="44" fontId="4" fillId="3" borderId="21" xfId="17" applyFont="1" applyFill="1" applyBorder="1" applyAlignment="1">
      <alignment/>
    </xf>
    <xf numFmtId="44" fontId="4" fillId="3" borderId="18" xfId="17" applyFont="1" applyFill="1" applyBorder="1" applyAlignment="1">
      <alignment/>
    </xf>
    <xf numFmtId="44" fontId="4" fillId="0" borderId="18" xfId="17" applyFont="1" applyBorder="1" applyAlignment="1">
      <alignment horizontal="left"/>
    </xf>
    <xf numFmtId="44" fontId="4" fillId="0" borderId="18" xfId="17" applyFont="1" applyBorder="1" applyAlignment="1">
      <alignment/>
    </xf>
    <xf numFmtId="44" fontId="4" fillId="3" borderId="18" xfId="17" applyFont="1" applyFill="1" applyBorder="1" applyAlignment="1">
      <alignment horizontal="left"/>
    </xf>
    <xf numFmtId="44" fontId="4" fillId="0" borderId="22" xfId="17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8" xfId="0" applyFont="1" applyBorder="1" applyAlignment="1">
      <alignment horizontal="right"/>
    </xf>
    <xf numFmtId="8" fontId="8" fillId="0" borderId="0" xfId="0" applyNumberFormat="1" applyFont="1" applyBorder="1" applyAlignment="1">
      <alignment/>
    </xf>
    <xf numFmtId="8" fontId="17" fillId="0" borderId="0" xfId="0" applyNumberFormat="1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24" xfId="0" applyFont="1" applyBorder="1" applyAlignment="1">
      <alignment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8" fillId="0" borderId="3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8" fontId="11" fillId="0" borderId="0" xfId="0" applyNumberFormat="1" applyFont="1" applyBorder="1" applyAlignment="1">
      <alignment/>
    </xf>
    <xf numFmtId="0" fontId="0" fillId="0" borderId="9" xfId="0" applyBorder="1" applyAlignment="1">
      <alignment/>
    </xf>
    <xf numFmtId="0" fontId="0" fillId="0" borderId="13" xfId="0" applyBorder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/>
    </xf>
    <xf numFmtId="0" fontId="17" fillId="0" borderId="25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8" fontId="11" fillId="0" borderId="35" xfId="0" applyNumberFormat="1" applyFont="1" applyBorder="1" applyAlignment="1">
      <alignment/>
    </xf>
    <xf numFmtId="8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8" fontId="11" fillId="0" borderId="7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11" xfId="0" applyFont="1" applyBorder="1" applyAlignment="1">
      <alignment horizontal="center"/>
    </xf>
    <xf numFmtId="0" fontId="8" fillId="0" borderId="9" xfId="0" applyFont="1" applyBorder="1" applyAlignment="1">
      <alignment horizont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8" fontId="3" fillId="0" borderId="16" xfId="0" applyNumberFormat="1" applyFont="1" applyBorder="1" applyAlignment="1">
      <alignment horizontal="center" vertical="center" wrapText="1"/>
    </xf>
    <xf numFmtId="8" fontId="14" fillId="0" borderId="16" xfId="0" applyNumberFormat="1" applyFont="1" applyBorder="1" applyAlignment="1">
      <alignment horizontal="center" wrapText="1"/>
    </xf>
    <xf numFmtId="8" fontId="3" fillId="2" borderId="16" xfId="0" applyNumberFormat="1" applyFont="1" applyFill="1" applyBorder="1" applyAlignment="1">
      <alignment horizontal="center" wrapText="1"/>
    </xf>
    <xf numFmtId="8" fontId="3" fillId="2" borderId="37" xfId="0" applyNumberFormat="1" applyFont="1" applyFill="1" applyBorder="1" applyAlignment="1">
      <alignment horizontal="center" vertical="center" wrapText="1"/>
    </xf>
    <xf numFmtId="8" fontId="3" fillId="2" borderId="38" xfId="0" applyNumberFormat="1" applyFont="1" applyFill="1" applyBorder="1" applyAlignment="1">
      <alignment horizontal="center" vertical="center" wrapText="1"/>
    </xf>
    <xf numFmtId="8" fontId="3" fillId="3" borderId="37" xfId="0" applyNumberFormat="1" applyFont="1" applyFill="1" applyBorder="1" applyAlignment="1">
      <alignment horizontal="center" vertical="center" wrapText="1"/>
    </xf>
    <xf numFmtId="8" fontId="3" fillId="3" borderId="38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wrapText="1"/>
    </xf>
    <xf numFmtId="8" fontId="3" fillId="0" borderId="37" xfId="0" applyNumberFormat="1" applyFont="1" applyBorder="1" applyAlignment="1">
      <alignment horizontal="center" vertical="center" wrapText="1"/>
    </xf>
    <xf numFmtId="8" fontId="3" fillId="0" borderId="38" xfId="0" applyNumberFormat="1" applyFont="1" applyBorder="1" applyAlignment="1">
      <alignment horizontal="center" vertical="center" wrapText="1"/>
    </xf>
    <xf numFmtId="0" fontId="3" fillId="3" borderId="3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8" fontId="3" fillId="3" borderId="16" xfId="0" applyNumberFormat="1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8" fontId="3" fillId="3" borderId="16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8" fontId="17" fillId="0" borderId="24" xfId="0" applyNumberFormat="1" applyFont="1" applyBorder="1" applyAlignment="1">
      <alignment horizontal="center"/>
    </xf>
    <xf numFmtId="8" fontId="17" fillId="0" borderId="32" xfId="0" applyNumberFormat="1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7" fillId="0" borderId="39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8" fontId="17" fillId="0" borderId="8" xfId="0" applyNumberFormat="1" applyFont="1" applyBorder="1" applyAlignment="1">
      <alignment horizontal="center"/>
    </xf>
    <xf numFmtId="8" fontId="17" fillId="0" borderId="0" xfId="0" applyNumberFormat="1" applyFont="1" applyBorder="1" applyAlignment="1">
      <alignment horizontal="center"/>
    </xf>
    <xf numFmtId="8" fontId="17" fillId="0" borderId="9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8" fontId="17" fillId="0" borderId="39" xfId="0" applyNumberFormat="1" applyFont="1" applyBorder="1" applyAlignment="1">
      <alignment horizontal="center"/>
    </xf>
    <xf numFmtId="8" fontId="17" fillId="0" borderId="41" xfId="0" applyNumberFormat="1" applyFont="1" applyBorder="1" applyAlignment="1">
      <alignment horizontal="center"/>
    </xf>
    <xf numFmtId="8" fontId="17" fillId="0" borderId="42" xfId="0" applyNumberFormat="1" applyFont="1" applyBorder="1" applyAlignment="1">
      <alignment horizontal="center"/>
    </xf>
    <xf numFmtId="0" fontId="8" fillId="0" borderId="32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zoomScale="50" zoomScaleNormal="5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44.28125" style="0" customWidth="1"/>
    <col min="2" max="2" width="13.8515625" style="0" customWidth="1"/>
    <col min="3" max="3" width="16.00390625" style="0" customWidth="1"/>
    <col min="4" max="4" width="14.28125" style="0" customWidth="1"/>
    <col min="5" max="5" width="15.00390625" style="0" customWidth="1"/>
    <col min="6" max="6" width="14.28125" style="0" customWidth="1"/>
    <col min="7" max="9" width="14.7109375" style="0" customWidth="1"/>
    <col min="10" max="10" width="16.7109375" style="0" customWidth="1"/>
    <col min="11" max="11" width="16.140625" style="0" customWidth="1"/>
    <col min="12" max="12" width="14.28125" style="0" customWidth="1"/>
    <col min="13" max="13" width="14.7109375" style="0" customWidth="1"/>
    <col min="14" max="14" width="14.28125" style="0" customWidth="1"/>
    <col min="15" max="15" width="15.28125" style="0" customWidth="1"/>
    <col min="16" max="16" width="14.28125" style="0" customWidth="1"/>
    <col min="17" max="21" width="15.421875" style="0" customWidth="1"/>
    <col min="22" max="22" width="14.28125" style="0" customWidth="1"/>
    <col min="23" max="23" width="15.00390625" style="0" customWidth="1"/>
    <col min="24" max="24" width="14.28125" style="0" customWidth="1"/>
    <col min="25" max="25" width="15.421875" style="0" customWidth="1"/>
    <col min="26" max="26" width="14.28125" style="0" customWidth="1"/>
    <col min="27" max="31" width="15.421875" style="0" customWidth="1"/>
    <col min="32" max="32" width="14.28125" style="0" customWidth="1"/>
    <col min="33" max="33" width="14.7109375" style="0" customWidth="1"/>
    <col min="34" max="34" width="14.28125" style="0" customWidth="1"/>
    <col min="35" max="35" width="14.7109375" style="0" customWidth="1"/>
    <col min="36" max="36" width="14.28125" style="0" customWidth="1"/>
    <col min="37" max="39" width="15.421875" style="0" customWidth="1"/>
    <col min="40" max="40" width="14.28125" style="0" customWidth="1"/>
    <col min="41" max="41" width="15.421875" style="0" customWidth="1"/>
  </cols>
  <sheetData>
    <row r="1" ht="12.75">
      <c r="A1" s="118" t="s">
        <v>19</v>
      </c>
    </row>
    <row r="2" ht="12.75">
      <c r="A2" s="113">
        <v>5</v>
      </c>
    </row>
    <row r="3" spans="1:40" ht="12.75">
      <c r="A3" s="118" t="s">
        <v>223</v>
      </c>
      <c r="B3" s="1"/>
      <c r="C3" s="1"/>
      <c r="E3" s="1"/>
      <c r="G3" s="1"/>
      <c r="H3" s="1"/>
      <c r="I3" s="1"/>
      <c r="M3" s="1"/>
      <c r="O3" s="1"/>
      <c r="Q3" s="1"/>
      <c r="R3" s="1"/>
      <c r="S3" s="1"/>
      <c r="T3" s="1"/>
      <c r="U3" s="1"/>
      <c r="W3" s="1"/>
      <c r="Y3" s="1"/>
      <c r="Z3" s="1"/>
      <c r="AF3" s="1"/>
      <c r="AH3" s="1"/>
      <c r="AJ3" s="1"/>
      <c r="AN3" s="1"/>
    </row>
    <row r="4" spans="1:41" ht="12.75">
      <c r="A4" s="115">
        <v>2000</v>
      </c>
      <c r="B4" s="1"/>
      <c r="C4" s="1"/>
      <c r="E4" s="1"/>
      <c r="G4" s="1"/>
      <c r="H4" s="1"/>
      <c r="I4" s="1"/>
      <c r="M4" s="1"/>
      <c r="O4" s="1"/>
      <c r="Q4" s="1"/>
      <c r="R4" s="1"/>
      <c r="S4" s="1"/>
      <c r="T4" s="1"/>
      <c r="U4" s="1"/>
      <c r="W4" s="1"/>
      <c r="Y4" s="1"/>
      <c r="Z4" s="1"/>
      <c r="AF4" s="1"/>
      <c r="AH4" s="1"/>
      <c r="AJ4" s="99"/>
      <c r="AK4" s="101"/>
      <c r="AL4" s="100"/>
      <c r="AM4" s="102"/>
      <c r="AN4" s="99"/>
      <c r="AO4" s="101"/>
    </row>
    <row r="5" spans="1:40" ht="12.75" hidden="1">
      <c r="A5" s="1" t="s">
        <v>190</v>
      </c>
      <c r="B5" s="112">
        <f>A4*1.075</f>
        <v>2150</v>
      </c>
      <c r="E5" s="1"/>
      <c r="G5" s="1"/>
      <c r="H5" s="1"/>
      <c r="I5" s="1"/>
      <c r="M5" s="1"/>
      <c r="O5" s="1"/>
      <c r="Q5" s="1"/>
      <c r="R5" s="1"/>
      <c r="S5" s="1"/>
      <c r="T5" s="1"/>
      <c r="U5" s="1"/>
      <c r="W5" s="1"/>
      <c r="Y5" s="1"/>
      <c r="Z5" s="1"/>
      <c r="AF5" s="1"/>
      <c r="AH5" s="1"/>
      <c r="AJ5" s="1"/>
      <c r="AN5" s="1"/>
    </row>
    <row r="6" spans="1:40" ht="12.75" hidden="1">
      <c r="A6" s="1" t="s">
        <v>189</v>
      </c>
      <c r="B6" s="1">
        <v>100</v>
      </c>
      <c r="C6" s="1"/>
      <c r="E6" s="1"/>
      <c r="G6" s="1"/>
      <c r="H6" s="1"/>
      <c r="I6" s="1"/>
      <c r="M6" s="1"/>
      <c r="O6" s="1"/>
      <c r="Q6" s="1"/>
      <c r="R6" s="1"/>
      <c r="S6" s="1"/>
      <c r="T6" s="1"/>
      <c r="U6" s="1"/>
      <c r="W6" s="1"/>
      <c r="Y6" s="1"/>
      <c r="Z6" s="1"/>
      <c r="AF6" s="1"/>
      <c r="AH6" s="1"/>
      <c r="AJ6" s="1"/>
      <c r="AN6" s="1"/>
    </row>
    <row r="7" spans="1:40" ht="12.75" hidden="1">
      <c r="A7" s="1" t="s">
        <v>188</v>
      </c>
      <c r="B7" s="1">
        <v>25</v>
      </c>
      <c r="C7" s="1"/>
      <c r="E7" s="1"/>
      <c r="G7" s="1"/>
      <c r="H7" s="1"/>
      <c r="I7" s="1"/>
      <c r="M7" s="1"/>
      <c r="O7" s="1"/>
      <c r="Q7" s="1"/>
      <c r="R7" s="1"/>
      <c r="S7" s="1"/>
      <c r="T7" s="1"/>
      <c r="U7" s="1"/>
      <c r="W7" s="1"/>
      <c r="Y7" s="1"/>
      <c r="Z7" s="1"/>
      <c r="AF7" s="1"/>
      <c r="AH7" s="1"/>
      <c r="AJ7" s="1"/>
      <c r="AN7" s="1"/>
    </row>
    <row r="8" spans="1:40" ht="12.75" hidden="1">
      <c r="A8" s="1" t="s">
        <v>187</v>
      </c>
      <c r="B8" s="1">
        <v>100</v>
      </c>
      <c r="C8" s="1"/>
      <c r="E8" s="1"/>
      <c r="G8" s="1"/>
      <c r="H8" s="1"/>
      <c r="I8" s="1"/>
      <c r="M8" s="1"/>
      <c r="O8" s="1"/>
      <c r="Q8" s="1"/>
      <c r="R8" s="1"/>
      <c r="S8" s="1"/>
      <c r="T8" s="1"/>
      <c r="U8" s="1"/>
      <c r="W8" s="1"/>
      <c r="Y8" s="1"/>
      <c r="Z8" s="1"/>
      <c r="AF8" s="1"/>
      <c r="AH8" s="1"/>
      <c r="AJ8" s="1"/>
      <c r="AN8" s="1"/>
    </row>
    <row r="9" spans="1:40" ht="12.75" hidden="1">
      <c r="A9" s="1" t="s">
        <v>186</v>
      </c>
      <c r="B9" s="1">
        <v>12</v>
      </c>
      <c r="C9" s="1"/>
      <c r="E9" s="1"/>
      <c r="G9" s="1"/>
      <c r="H9" s="1"/>
      <c r="I9" s="1"/>
      <c r="M9" s="1"/>
      <c r="O9" s="1"/>
      <c r="Q9" s="1"/>
      <c r="R9" s="1"/>
      <c r="S9" s="1"/>
      <c r="T9" s="1"/>
      <c r="U9" s="1"/>
      <c r="W9" s="1"/>
      <c r="Y9" s="1"/>
      <c r="Z9" s="1"/>
      <c r="AF9" s="1"/>
      <c r="AH9" s="1"/>
      <c r="AJ9" s="1"/>
      <c r="AN9" s="1"/>
    </row>
    <row r="10" spans="1:40" ht="12.75" hidden="1">
      <c r="A10" s="1" t="s">
        <v>185</v>
      </c>
      <c r="B10" s="1">
        <v>100</v>
      </c>
      <c r="C10" s="1"/>
      <c r="E10" s="1"/>
      <c r="G10" s="1"/>
      <c r="H10" s="1"/>
      <c r="I10" s="1"/>
      <c r="M10" s="1"/>
      <c r="O10" s="1"/>
      <c r="Q10" s="1"/>
      <c r="R10" s="1"/>
      <c r="S10" s="1"/>
      <c r="T10" s="1"/>
      <c r="U10" s="1"/>
      <c r="W10" s="1"/>
      <c r="Y10" s="1"/>
      <c r="Z10" s="1"/>
      <c r="AF10" s="1"/>
      <c r="AH10" s="1"/>
      <c r="AJ10" s="1"/>
      <c r="AN10" s="1"/>
    </row>
    <row r="11" spans="1:40" ht="12.75" hidden="1">
      <c r="A11" s="1" t="s">
        <v>184</v>
      </c>
      <c r="B11" s="1"/>
      <c r="C11" s="1"/>
      <c r="E11" s="1"/>
      <c r="G11" s="1"/>
      <c r="H11" s="1"/>
      <c r="I11" s="1"/>
      <c r="M11" s="1"/>
      <c r="O11" s="1"/>
      <c r="Q11" s="1"/>
      <c r="R11" s="1"/>
      <c r="S11" s="1"/>
      <c r="T11" s="1"/>
      <c r="U11" s="1"/>
      <c r="W11" s="1"/>
      <c r="Y11" s="1"/>
      <c r="Z11" s="1"/>
      <c r="AF11" s="1"/>
      <c r="AH11" s="1"/>
      <c r="AJ11" s="1"/>
      <c r="AN11" s="1"/>
    </row>
    <row r="12" spans="1:40" ht="12.75" hidden="1">
      <c r="A12" s="1" t="s">
        <v>183</v>
      </c>
      <c r="B12" s="1">
        <v>50</v>
      </c>
      <c r="C12" s="1"/>
      <c r="E12" s="1"/>
      <c r="G12" s="1"/>
      <c r="H12" s="1"/>
      <c r="I12" s="1"/>
      <c r="M12" s="1"/>
      <c r="O12" s="1"/>
      <c r="Q12" s="1"/>
      <c r="R12" s="1"/>
      <c r="S12" s="1"/>
      <c r="T12" s="1"/>
      <c r="U12" s="1"/>
      <c r="W12" s="1"/>
      <c r="Y12" s="1"/>
      <c r="Z12" s="1"/>
      <c r="AF12" s="1"/>
      <c r="AH12" s="1"/>
      <c r="AJ12" s="1"/>
      <c r="AN12" s="1"/>
    </row>
    <row r="13" spans="1:40" ht="12.75" hidden="1">
      <c r="A13" s="1" t="s">
        <v>179</v>
      </c>
      <c r="B13" s="1">
        <v>41</v>
      </c>
      <c r="C13" s="1"/>
      <c r="E13" s="1"/>
      <c r="G13" s="1"/>
      <c r="H13" s="1"/>
      <c r="I13" s="1"/>
      <c r="M13" s="1"/>
      <c r="O13" s="1"/>
      <c r="Q13" s="1"/>
      <c r="R13" s="1"/>
      <c r="S13" s="1"/>
      <c r="T13" s="1"/>
      <c r="U13" s="1"/>
      <c r="W13" s="1"/>
      <c r="Y13" s="1"/>
      <c r="Z13" s="1"/>
      <c r="AF13" s="1"/>
      <c r="AH13" s="1"/>
      <c r="AJ13" s="1"/>
      <c r="AN13" s="1"/>
    </row>
    <row r="14" spans="1:40" ht="12.75" hidden="1">
      <c r="A14" s="1" t="s">
        <v>229</v>
      </c>
      <c r="B14" s="1">
        <v>40</v>
      </c>
      <c r="C14" s="1"/>
      <c r="E14" s="1"/>
      <c r="G14" s="1"/>
      <c r="H14" s="1"/>
      <c r="I14" s="1"/>
      <c r="M14" s="1"/>
      <c r="O14" s="1"/>
      <c r="Q14" s="1"/>
      <c r="R14" s="1"/>
      <c r="S14" s="1"/>
      <c r="T14" s="1"/>
      <c r="U14" s="1"/>
      <c r="W14" s="1"/>
      <c r="Y14" s="1"/>
      <c r="Z14" s="1"/>
      <c r="AF14" s="1"/>
      <c r="AH14" s="1"/>
      <c r="AJ14" s="1"/>
      <c r="AN14" s="1"/>
    </row>
    <row r="15" spans="1:41" ht="13.5" thickBot="1">
      <c r="A15" s="1"/>
      <c r="B15" s="1"/>
      <c r="C15" s="1"/>
      <c r="E15" s="1"/>
      <c r="G15" s="1"/>
      <c r="H15" s="1"/>
      <c r="I15" s="1"/>
      <c r="M15" s="1"/>
      <c r="O15" s="1"/>
      <c r="Q15" s="1"/>
      <c r="R15" s="1"/>
      <c r="S15" s="1"/>
      <c r="T15" s="1"/>
      <c r="U15" s="1"/>
      <c r="W15" s="1"/>
      <c r="Y15" s="1"/>
      <c r="Z15" s="1"/>
      <c r="AF15" s="1"/>
      <c r="AH15" s="1"/>
      <c r="AJ15" s="99" t="s">
        <v>226</v>
      </c>
      <c r="AK15" s="116">
        <v>2</v>
      </c>
      <c r="AL15" s="100" t="s">
        <v>227</v>
      </c>
      <c r="AM15" s="116">
        <v>2</v>
      </c>
      <c r="AN15" s="99" t="s">
        <v>228</v>
      </c>
      <c r="AO15" s="116">
        <v>2</v>
      </c>
    </row>
    <row r="16" spans="1:41" ht="14.25" thickBot="1" thickTop="1">
      <c r="A16" s="1"/>
      <c r="B16" s="1"/>
      <c r="C16" s="1"/>
      <c r="E16" s="1"/>
      <c r="G16" s="1"/>
      <c r="H16" s="1"/>
      <c r="I16" s="1"/>
      <c r="M16" s="1"/>
      <c r="O16" s="1"/>
      <c r="Q16" s="1"/>
      <c r="R16" s="1"/>
      <c r="S16" s="1"/>
      <c r="T16" s="1"/>
      <c r="U16" s="1"/>
      <c r="W16" s="1"/>
      <c r="Y16" s="1"/>
      <c r="Z16" s="183" t="s">
        <v>206</v>
      </c>
      <c r="AA16" s="183"/>
      <c r="AB16" s="184" t="s">
        <v>207</v>
      </c>
      <c r="AC16" s="184"/>
      <c r="AF16" s="1"/>
      <c r="AH16" s="1"/>
      <c r="AJ16" s="171" t="s">
        <v>206</v>
      </c>
      <c r="AK16" s="171"/>
      <c r="AL16" s="176" t="s">
        <v>207</v>
      </c>
      <c r="AM16" s="176"/>
      <c r="AN16" s="171"/>
      <c r="AO16" s="171"/>
    </row>
    <row r="17" spans="1:41" ht="42" customHeight="1" thickBot="1" thickTop="1">
      <c r="A17" s="98" t="s">
        <v>225</v>
      </c>
      <c r="B17" s="185" t="s">
        <v>7</v>
      </c>
      <c r="C17" s="185"/>
      <c r="D17" s="186" t="s">
        <v>8</v>
      </c>
      <c r="E17" s="186"/>
      <c r="F17" s="187" t="s">
        <v>21</v>
      </c>
      <c r="G17" s="187"/>
      <c r="H17" s="169" t="s">
        <v>224</v>
      </c>
      <c r="I17" s="169"/>
      <c r="J17" s="179" t="s">
        <v>14</v>
      </c>
      <c r="K17" s="180"/>
      <c r="L17" s="181" t="s">
        <v>9</v>
      </c>
      <c r="M17" s="182"/>
      <c r="N17" s="179" t="s">
        <v>15</v>
      </c>
      <c r="O17" s="180"/>
      <c r="P17" s="181" t="s">
        <v>10</v>
      </c>
      <c r="Q17" s="182"/>
      <c r="R17" s="174" t="s">
        <v>196</v>
      </c>
      <c r="S17" s="175"/>
      <c r="T17" s="177" t="s">
        <v>197</v>
      </c>
      <c r="U17" s="178"/>
      <c r="V17" s="179" t="s">
        <v>11</v>
      </c>
      <c r="W17" s="180"/>
      <c r="X17" s="181" t="s">
        <v>12</v>
      </c>
      <c r="Y17" s="182"/>
      <c r="Z17" s="174" t="s">
        <v>218</v>
      </c>
      <c r="AA17" s="175"/>
      <c r="AB17" s="177" t="s">
        <v>218</v>
      </c>
      <c r="AC17" s="178"/>
      <c r="AD17" s="174" t="s">
        <v>291</v>
      </c>
      <c r="AE17" s="175"/>
      <c r="AF17" s="177" t="s">
        <v>210</v>
      </c>
      <c r="AG17" s="178"/>
      <c r="AH17" s="174" t="s">
        <v>13</v>
      </c>
      <c r="AI17" s="175"/>
      <c r="AJ17" s="172" t="s">
        <v>220</v>
      </c>
      <c r="AK17" s="173"/>
      <c r="AL17" s="174" t="s">
        <v>219</v>
      </c>
      <c r="AM17" s="175"/>
      <c r="AN17" s="172" t="s">
        <v>222</v>
      </c>
      <c r="AO17" s="173"/>
    </row>
    <row r="18" spans="1:41" ht="25.5" thickBot="1" thickTop="1">
      <c r="A18" s="117" t="s">
        <v>240</v>
      </c>
      <c r="B18" s="66" t="s">
        <v>204</v>
      </c>
      <c r="C18" s="66" t="s">
        <v>205</v>
      </c>
      <c r="D18" s="61" t="s">
        <v>204</v>
      </c>
      <c r="E18" s="61" t="s">
        <v>205</v>
      </c>
      <c r="F18" s="66" t="s">
        <v>204</v>
      </c>
      <c r="G18" s="66" t="s">
        <v>205</v>
      </c>
      <c r="H18" s="61" t="s">
        <v>204</v>
      </c>
      <c r="I18" s="61" t="s">
        <v>205</v>
      </c>
      <c r="J18" s="66" t="s">
        <v>204</v>
      </c>
      <c r="K18" s="66" t="s">
        <v>205</v>
      </c>
      <c r="L18" s="61" t="s">
        <v>204</v>
      </c>
      <c r="M18" s="61" t="s">
        <v>205</v>
      </c>
      <c r="N18" s="66" t="s">
        <v>204</v>
      </c>
      <c r="O18" s="66" t="s">
        <v>205</v>
      </c>
      <c r="P18" s="61" t="s">
        <v>204</v>
      </c>
      <c r="Q18" s="61" t="s">
        <v>205</v>
      </c>
      <c r="R18" s="66" t="s">
        <v>204</v>
      </c>
      <c r="S18" s="66" t="s">
        <v>205</v>
      </c>
      <c r="T18" s="61" t="s">
        <v>204</v>
      </c>
      <c r="U18" s="61" t="s">
        <v>205</v>
      </c>
      <c r="V18" s="66" t="s">
        <v>204</v>
      </c>
      <c r="W18" s="66" t="s">
        <v>205</v>
      </c>
      <c r="X18" s="61" t="s">
        <v>204</v>
      </c>
      <c r="Y18" s="61" t="s">
        <v>205</v>
      </c>
      <c r="Z18" s="66" t="s">
        <v>204</v>
      </c>
      <c r="AA18" s="66" t="s">
        <v>205</v>
      </c>
      <c r="AB18" s="61" t="s">
        <v>204</v>
      </c>
      <c r="AC18" s="61" t="s">
        <v>205</v>
      </c>
      <c r="AD18" s="66" t="s">
        <v>204</v>
      </c>
      <c r="AE18" s="66" t="s">
        <v>205</v>
      </c>
      <c r="AF18" s="61" t="s">
        <v>204</v>
      </c>
      <c r="AG18" s="61" t="s">
        <v>205</v>
      </c>
      <c r="AH18" s="66" t="s">
        <v>204</v>
      </c>
      <c r="AI18" s="66" t="s">
        <v>205</v>
      </c>
      <c r="AJ18" s="93" t="s">
        <v>204</v>
      </c>
      <c r="AK18" s="93" t="s">
        <v>205</v>
      </c>
      <c r="AL18" s="66" t="s">
        <v>204</v>
      </c>
      <c r="AM18" s="66" t="s">
        <v>205</v>
      </c>
      <c r="AN18" s="93" t="s">
        <v>204</v>
      </c>
      <c r="AO18" s="93" t="s">
        <v>205</v>
      </c>
    </row>
    <row r="19" spans="1:41" ht="12.75">
      <c r="A19" s="67"/>
      <c r="B19" s="68"/>
      <c r="C19" s="68"/>
      <c r="D19" s="69"/>
      <c r="E19" s="69"/>
      <c r="F19" s="68"/>
      <c r="G19" s="68"/>
      <c r="H19" s="69"/>
      <c r="I19" s="69"/>
      <c r="J19" s="68"/>
      <c r="K19" s="68"/>
      <c r="L19" s="69"/>
      <c r="M19" s="69"/>
      <c r="N19" s="68"/>
      <c r="O19" s="68"/>
      <c r="P19" s="69"/>
      <c r="Q19" s="69"/>
      <c r="R19" s="68"/>
      <c r="S19" s="68"/>
      <c r="T19" s="69"/>
      <c r="U19" s="69"/>
      <c r="V19" s="68"/>
      <c r="W19" s="68"/>
      <c r="X19" s="69"/>
      <c r="Y19" s="69"/>
      <c r="Z19" s="68"/>
      <c r="AA19" s="68"/>
      <c r="AB19" s="69"/>
      <c r="AC19" s="70"/>
      <c r="AD19" s="68"/>
      <c r="AE19" s="68"/>
      <c r="AF19" s="69"/>
      <c r="AG19" s="69"/>
      <c r="AH19" s="68"/>
      <c r="AI19" s="68"/>
      <c r="AJ19" s="56"/>
      <c r="AK19" s="56"/>
      <c r="AL19" s="68"/>
      <c r="AM19" s="97"/>
      <c r="AN19" s="56"/>
      <c r="AO19" s="56"/>
    </row>
    <row r="20" spans="1:41" ht="12.75">
      <c r="A20" s="71" t="s">
        <v>209</v>
      </c>
      <c r="B20" s="72">
        <f>A4+B5+B7</f>
        <v>4175</v>
      </c>
      <c r="C20" s="72">
        <f>B20*1.03</f>
        <v>4300.25</v>
      </c>
      <c r="D20" s="73">
        <f>A4+B5+B6+B7</f>
        <v>4275</v>
      </c>
      <c r="E20" s="73">
        <f>D20*1.03</f>
        <v>4403.25</v>
      </c>
      <c r="F20" s="72">
        <f>A4+B5+B6+B7</f>
        <v>4275</v>
      </c>
      <c r="G20" s="72">
        <f>F20*1.03</f>
        <v>4403.25</v>
      </c>
      <c r="H20" s="73">
        <f>A4+B5+B6+B7+B10</f>
        <v>4375</v>
      </c>
      <c r="I20" s="73">
        <f>H20*1.03</f>
        <v>4506.25</v>
      </c>
      <c r="J20" s="72">
        <f>A4</f>
        <v>2000</v>
      </c>
      <c r="K20" s="72">
        <f>(A4*1.04)/A2</f>
        <v>416</v>
      </c>
      <c r="L20" s="73">
        <f>A4+B5+B6+B7</f>
        <v>4275</v>
      </c>
      <c r="M20" s="73">
        <f>L20*1.03</f>
        <v>4403.25</v>
      </c>
      <c r="N20" s="72">
        <f>A4+B5+B6+B7</f>
        <v>4275</v>
      </c>
      <c r="O20" s="72">
        <f>N20*1.03</f>
        <v>4403.25</v>
      </c>
      <c r="P20" s="73">
        <f>A4+B5+B6+B7</f>
        <v>4275</v>
      </c>
      <c r="Q20" s="73">
        <f>P20*1.03</f>
        <v>4403.25</v>
      </c>
      <c r="R20" s="72">
        <f>A4+B5+B6+B7+B12</f>
        <v>4325</v>
      </c>
      <c r="S20" s="72">
        <f>R20*1.03</f>
        <v>4454.75</v>
      </c>
      <c r="T20" s="73">
        <f>A4+B5+B6+B7</f>
        <v>4275</v>
      </c>
      <c r="U20" s="73">
        <f>T20*1.03</f>
        <v>4403.25</v>
      </c>
      <c r="V20" s="72">
        <f>A4+B5+B6+B7</f>
        <v>4275</v>
      </c>
      <c r="W20" s="72">
        <f>V20*1.03</f>
        <v>4403.25</v>
      </c>
      <c r="X20" s="73">
        <f>A4+B5+B6+B7</f>
        <v>4275</v>
      </c>
      <c r="Y20" s="73">
        <f>X20/1.03</f>
        <v>4150.485436893204</v>
      </c>
      <c r="Z20" s="72">
        <f>A4+B5+B6+B7+B8+B9</f>
        <v>4387</v>
      </c>
      <c r="AA20" s="72">
        <f>Z20*1.03</f>
        <v>4518.61</v>
      </c>
      <c r="AB20" s="73">
        <f>A4+B5+B6+B7+B8+B9</f>
        <v>4387</v>
      </c>
      <c r="AC20" s="73">
        <f>AB20*1.03</f>
        <v>4518.61</v>
      </c>
      <c r="AD20" s="72">
        <f>A4</f>
        <v>2000</v>
      </c>
      <c r="AE20" s="72">
        <f>AD20*1.03</f>
        <v>2060</v>
      </c>
      <c r="AF20" s="73">
        <f>B13</f>
        <v>41</v>
      </c>
      <c r="AG20" s="73">
        <f>AF20*1.03</f>
        <v>42.230000000000004</v>
      </c>
      <c r="AH20" s="72">
        <f>A4+B5+B6+B7+B13</f>
        <v>4316</v>
      </c>
      <c r="AI20" s="72">
        <f>AH20*1.03</f>
        <v>4445.4800000000005</v>
      </c>
      <c r="AJ20" s="94">
        <f>A4+B5+B6+B7+B8+B9+(AK15*B14)</f>
        <v>4467</v>
      </c>
      <c r="AK20" s="94">
        <f>AJ20*1.03</f>
        <v>4601.01</v>
      </c>
      <c r="AL20" s="72">
        <f>A4+B5+B6+B7+B8+B9+(AM15*B14)</f>
        <v>4467</v>
      </c>
      <c r="AM20" s="72">
        <f>AL20*1.03</f>
        <v>4601.01</v>
      </c>
      <c r="AN20" s="94">
        <f>A4+B5+B6+B7+B8+B9+(AO15*B14)</f>
        <v>4467</v>
      </c>
      <c r="AO20" s="94">
        <f>AN20*1.03</f>
        <v>4601.01</v>
      </c>
    </row>
    <row r="21" spans="1:41" ht="12.75">
      <c r="A21" s="74"/>
      <c r="B21" s="72"/>
      <c r="C21" s="72"/>
      <c r="D21" s="73"/>
      <c r="E21" s="73"/>
      <c r="F21" s="72"/>
      <c r="G21" s="72"/>
      <c r="H21" s="73"/>
      <c r="I21" s="73"/>
      <c r="J21" s="72"/>
      <c r="K21" s="72"/>
      <c r="L21" s="73"/>
      <c r="M21" s="73"/>
      <c r="N21" s="72"/>
      <c r="O21" s="72"/>
      <c r="P21" s="73"/>
      <c r="Q21" s="73"/>
      <c r="R21" s="72"/>
      <c r="S21" s="72"/>
      <c r="T21" s="73"/>
      <c r="U21" s="73"/>
      <c r="V21" s="72"/>
      <c r="W21" s="72"/>
      <c r="X21" s="73"/>
      <c r="Y21" s="73"/>
      <c r="Z21" s="72"/>
      <c r="AA21" s="72"/>
      <c r="AB21" s="73"/>
      <c r="AC21" s="73"/>
      <c r="AD21" s="72"/>
      <c r="AE21" s="72"/>
      <c r="AF21" s="73"/>
      <c r="AG21" s="73"/>
      <c r="AH21" s="72"/>
      <c r="AI21" s="72"/>
      <c r="AJ21" s="94"/>
      <c r="AK21" s="94"/>
      <c r="AL21" s="72"/>
      <c r="AM21" s="72"/>
      <c r="AN21" s="94"/>
      <c r="AO21" s="94"/>
    </row>
    <row r="22" spans="1:41" ht="12.75">
      <c r="A22" s="75" t="s">
        <v>181</v>
      </c>
      <c r="B22" s="72">
        <f>SUM(B24:B34)</f>
        <v>2175</v>
      </c>
      <c r="C22" s="72">
        <f>SUM(C23:C34)</f>
        <v>460.05</v>
      </c>
      <c r="D22" s="73">
        <f aca="true" t="shared" si="0" ref="D22:I22">SUM(D24:D34)</f>
        <v>2275</v>
      </c>
      <c r="E22" s="73">
        <f t="shared" si="0"/>
        <v>480.65</v>
      </c>
      <c r="F22" s="72">
        <f t="shared" si="0"/>
        <v>2375</v>
      </c>
      <c r="G22" s="72">
        <f t="shared" si="0"/>
        <v>500.65</v>
      </c>
      <c r="H22" s="73">
        <f t="shared" si="0"/>
        <v>2375</v>
      </c>
      <c r="I22" s="73">
        <f t="shared" si="0"/>
        <v>501.25</v>
      </c>
      <c r="J22" s="72"/>
      <c r="K22" s="72"/>
      <c r="L22" s="73">
        <f>SUM(L24:L34)</f>
        <v>2275</v>
      </c>
      <c r="M22" s="73">
        <f>SUM(M24:M34)</f>
        <v>480.65</v>
      </c>
      <c r="N22" s="72">
        <f>SUM(N24:N34)</f>
        <v>2275</v>
      </c>
      <c r="O22" s="72">
        <f aca="true" t="shared" si="1" ref="O22:AG22">SUM(O23:O34)</f>
        <v>480.65</v>
      </c>
      <c r="P22" s="73">
        <f>SUM(P23:P34)</f>
        <v>2275</v>
      </c>
      <c r="Q22" s="73">
        <f t="shared" si="1"/>
        <v>480.65</v>
      </c>
      <c r="R22" s="72">
        <f>SUM(R23:R34)</f>
        <v>2325</v>
      </c>
      <c r="S22" s="72">
        <f>SUM(S23:S34)</f>
        <v>490.95</v>
      </c>
      <c r="T22" s="73">
        <f>SUM(T23:T34)</f>
        <v>2275</v>
      </c>
      <c r="U22" s="73">
        <f>SUM(U23:U34)</f>
        <v>480.65</v>
      </c>
      <c r="V22" s="72">
        <f t="shared" si="1"/>
        <v>2275</v>
      </c>
      <c r="W22" s="72">
        <f>SUM(W24:W34)</f>
        <v>480.65</v>
      </c>
      <c r="X22" s="73">
        <f t="shared" si="1"/>
        <v>2275</v>
      </c>
      <c r="Y22" s="73">
        <f t="shared" si="1"/>
        <v>430.09708737864077</v>
      </c>
      <c r="Z22" s="72">
        <f t="shared" si="1"/>
        <v>2387</v>
      </c>
      <c r="AA22" s="72">
        <f t="shared" si="1"/>
        <v>503.7219999999999</v>
      </c>
      <c r="AB22" s="73">
        <f>SUM(AB23:AB34)</f>
        <v>2387</v>
      </c>
      <c r="AC22" s="73">
        <f>SUM(AC23:AC34)</f>
        <v>503.7219999999999</v>
      </c>
      <c r="AD22" s="72"/>
      <c r="AE22" s="72"/>
      <c r="AF22" s="73">
        <f t="shared" si="1"/>
        <v>41</v>
      </c>
      <c r="AG22" s="73">
        <f t="shared" si="1"/>
        <v>8.446</v>
      </c>
      <c r="AH22" s="72">
        <f>SUM(AH23:AH34)</f>
        <v>2316</v>
      </c>
      <c r="AI22" s="72">
        <f>SUM(AI23:AI34)</f>
        <v>489.0960000000001</v>
      </c>
      <c r="AJ22" s="94">
        <f>SUM(AJ23:AJ34)</f>
        <v>2467</v>
      </c>
      <c r="AK22" s="94">
        <f>SUM(AK24:AK34)</f>
        <v>520.202</v>
      </c>
      <c r="AL22" s="72">
        <f>SUM(AL23:AL34)</f>
        <v>2467</v>
      </c>
      <c r="AM22" s="72">
        <f>SUM(AM23:AM34)</f>
        <v>520.202</v>
      </c>
      <c r="AN22" s="94">
        <f>SUM(AN23:AN34)</f>
        <v>2367</v>
      </c>
      <c r="AO22" s="94">
        <f>SUM(AO24:AO34)</f>
        <v>500.20200000000006</v>
      </c>
    </row>
    <row r="23" spans="1:41" ht="12.75">
      <c r="A23" s="76" t="s">
        <v>182</v>
      </c>
      <c r="B23" s="72"/>
      <c r="C23" s="72"/>
      <c r="D23" s="73"/>
      <c r="E23" s="73"/>
      <c r="F23" s="72"/>
      <c r="G23" s="72"/>
      <c r="H23" s="73"/>
      <c r="I23" s="73"/>
      <c r="J23" s="72"/>
      <c r="K23" s="72"/>
      <c r="L23" s="73"/>
      <c r="M23" s="73"/>
      <c r="N23" s="72"/>
      <c r="O23" s="72"/>
      <c r="P23" s="73"/>
      <c r="Q23" s="73"/>
      <c r="R23" s="72"/>
      <c r="S23" s="72"/>
      <c r="T23" s="73"/>
      <c r="U23" s="73"/>
      <c r="V23" s="72"/>
      <c r="W23" s="72"/>
      <c r="X23" s="73"/>
      <c r="Y23" s="73"/>
      <c r="Z23" s="72"/>
      <c r="AA23" s="72"/>
      <c r="AB23" s="73"/>
      <c r="AC23" s="73"/>
      <c r="AD23" s="72"/>
      <c r="AE23" s="72"/>
      <c r="AF23" s="73"/>
      <c r="AG23" s="73"/>
      <c r="AH23" s="72"/>
      <c r="AI23" s="72"/>
      <c r="AJ23" s="94"/>
      <c r="AK23" s="94"/>
      <c r="AL23" s="72"/>
      <c r="AM23" s="72"/>
      <c r="AN23" s="94"/>
      <c r="AO23" s="94"/>
    </row>
    <row r="24" spans="1:41" ht="12.75">
      <c r="A24" s="77" t="s">
        <v>198</v>
      </c>
      <c r="B24" s="72"/>
      <c r="C24" s="72">
        <f>(C20-B20)/A2</f>
        <v>25.05</v>
      </c>
      <c r="D24" s="73"/>
      <c r="E24" s="73">
        <f>(E20-D20)/A2</f>
        <v>25.65</v>
      </c>
      <c r="F24" s="72"/>
      <c r="G24" s="72">
        <f>(G20-F20)/A2</f>
        <v>25.65</v>
      </c>
      <c r="H24" s="73"/>
      <c r="I24" s="73">
        <f>(I20-H20)/A2</f>
        <v>26.25</v>
      </c>
      <c r="J24" s="72"/>
      <c r="K24" s="72">
        <f>(A4*0.04)/A2</f>
        <v>16</v>
      </c>
      <c r="L24" s="73"/>
      <c r="M24" s="73">
        <f>(M20-L20)/A2</f>
        <v>25.65</v>
      </c>
      <c r="N24" s="72"/>
      <c r="O24" s="72">
        <f>(O20-N20)/A2</f>
        <v>25.65</v>
      </c>
      <c r="P24" s="73"/>
      <c r="Q24" s="73">
        <f>(Q20-P20)/A2</f>
        <v>25.65</v>
      </c>
      <c r="R24" s="72"/>
      <c r="S24" s="72">
        <f>(S20-R20)/A2</f>
        <v>25.95</v>
      </c>
      <c r="T24" s="73"/>
      <c r="U24" s="73">
        <f>(U20-T20)/A2</f>
        <v>25.65</v>
      </c>
      <c r="V24" s="72"/>
      <c r="W24" s="72">
        <f>(W20-V20)/A2</f>
        <v>25.65</v>
      </c>
      <c r="X24" s="73"/>
      <c r="Y24" s="73">
        <f>(Y20-X20)/A2</f>
        <v>-24.902912621359246</v>
      </c>
      <c r="Z24" s="72"/>
      <c r="AA24" s="72">
        <f>(AA20-Z20)/A2</f>
        <v>26.321999999999935</v>
      </c>
      <c r="AB24" s="73"/>
      <c r="AC24" s="73">
        <f>(AC20-AB20)/A2</f>
        <v>26.321999999999935</v>
      </c>
      <c r="AD24" s="72"/>
      <c r="AE24" s="72">
        <f>(AE20-AD20)/A2</f>
        <v>12</v>
      </c>
      <c r="AF24" s="73"/>
      <c r="AG24" s="73">
        <f>(AG20-AF20)/A2</f>
        <v>0.2460000000000008</v>
      </c>
      <c r="AH24" s="72"/>
      <c r="AI24" s="72">
        <f>(AI20-AH20)/A2</f>
        <v>25.896000000000093</v>
      </c>
      <c r="AJ24" s="94"/>
      <c r="AK24" s="94">
        <f>(AK20-AJ20)/A2</f>
        <v>26.802000000000042</v>
      </c>
      <c r="AL24" s="72"/>
      <c r="AM24" s="72">
        <f>(AM20-AL20)/A2</f>
        <v>26.802000000000042</v>
      </c>
      <c r="AN24" s="94"/>
      <c r="AO24" s="94">
        <f>(AO20-AN20)/A2</f>
        <v>26.802000000000042</v>
      </c>
    </row>
    <row r="25" spans="1:41" ht="12.75">
      <c r="A25" s="78" t="s">
        <v>16</v>
      </c>
      <c r="B25" s="72"/>
      <c r="C25" s="72"/>
      <c r="D25" s="73">
        <f>B6</f>
        <v>100</v>
      </c>
      <c r="E25" s="73">
        <f>B6/A2</f>
        <v>20</v>
      </c>
      <c r="F25" s="72">
        <f>B6</f>
        <v>100</v>
      </c>
      <c r="G25" s="72">
        <f>B6/A2</f>
        <v>20</v>
      </c>
      <c r="H25" s="73">
        <f>B6</f>
        <v>100</v>
      </c>
      <c r="I25" s="73">
        <f>B6/A2</f>
        <v>20</v>
      </c>
      <c r="J25" s="72"/>
      <c r="K25" s="72"/>
      <c r="L25" s="73">
        <f>B6</f>
        <v>100</v>
      </c>
      <c r="M25" s="73">
        <f>B6/A2</f>
        <v>20</v>
      </c>
      <c r="N25" s="72">
        <f>B6</f>
        <v>100</v>
      </c>
      <c r="O25" s="72">
        <f>B6/A2</f>
        <v>20</v>
      </c>
      <c r="P25" s="73">
        <f>B6</f>
        <v>100</v>
      </c>
      <c r="Q25" s="73">
        <f>B6/A2</f>
        <v>20</v>
      </c>
      <c r="R25" s="72">
        <f>B6</f>
        <v>100</v>
      </c>
      <c r="S25" s="72">
        <f>B6/A2</f>
        <v>20</v>
      </c>
      <c r="T25" s="73">
        <f>B6</f>
        <v>100</v>
      </c>
      <c r="U25" s="73">
        <f>B6/A2</f>
        <v>20</v>
      </c>
      <c r="V25" s="72">
        <f>B6</f>
        <v>100</v>
      </c>
      <c r="W25" s="72">
        <f>B6/A2</f>
        <v>20</v>
      </c>
      <c r="X25" s="73">
        <f>B6</f>
        <v>100</v>
      </c>
      <c r="Y25" s="73">
        <f>B6/A2</f>
        <v>20</v>
      </c>
      <c r="Z25" s="72">
        <f>B6</f>
        <v>100</v>
      </c>
      <c r="AA25" s="72">
        <f>B6/A2</f>
        <v>20</v>
      </c>
      <c r="AB25" s="73">
        <f>B6</f>
        <v>100</v>
      </c>
      <c r="AC25" s="73">
        <f>B6/A2</f>
        <v>20</v>
      </c>
      <c r="AD25" s="72"/>
      <c r="AE25" s="72"/>
      <c r="AF25" s="73"/>
      <c r="AG25" s="73"/>
      <c r="AH25" s="72">
        <f>B6</f>
        <v>100</v>
      </c>
      <c r="AI25" s="72">
        <f>B6/A2</f>
        <v>20</v>
      </c>
      <c r="AJ25" s="94">
        <f>B6</f>
        <v>100</v>
      </c>
      <c r="AK25" s="94">
        <f>B6/A2</f>
        <v>20</v>
      </c>
      <c r="AL25" s="72">
        <f>B6</f>
        <v>100</v>
      </c>
      <c r="AM25" s="72">
        <f>B6/A2</f>
        <v>20</v>
      </c>
      <c r="AN25" s="94"/>
      <c r="AO25" s="94"/>
    </row>
    <row r="26" spans="1:41" ht="12.75">
      <c r="A26" s="78" t="s">
        <v>192</v>
      </c>
      <c r="B26" s="72">
        <f>B7</f>
        <v>25</v>
      </c>
      <c r="C26" s="72">
        <f>B7/A2</f>
        <v>5</v>
      </c>
      <c r="D26" s="73">
        <f>B7</f>
        <v>25</v>
      </c>
      <c r="E26" s="73">
        <f>B7/A2</f>
        <v>5</v>
      </c>
      <c r="F26" s="72">
        <f>B7</f>
        <v>25</v>
      </c>
      <c r="G26" s="72">
        <f>B7/A2</f>
        <v>5</v>
      </c>
      <c r="H26" s="73">
        <f>B7</f>
        <v>25</v>
      </c>
      <c r="I26" s="73">
        <f>B7/A2</f>
        <v>5</v>
      </c>
      <c r="J26" s="72"/>
      <c r="K26" s="72"/>
      <c r="L26" s="73">
        <f>B7</f>
        <v>25</v>
      </c>
      <c r="M26" s="73">
        <f>B7/A2</f>
        <v>5</v>
      </c>
      <c r="N26" s="72">
        <f>B7</f>
        <v>25</v>
      </c>
      <c r="O26" s="72">
        <f>B7/A2</f>
        <v>5</v>
      </c>
      <c r="P26" s="73">
        <f>B7</f>
        <v>25</v>
      </c>
      <c r="Q26" s="73">
        <f>B7/A2</f>
        <v>5</v>
      </c>
      <c r="R26" s="72">
        <f>B7</f>
        <v>25</v>
      </c>
      <c r="S26" s="72">
        <f>B7/A2</f>
        <v>5</v>
      </c>
      <c r="T26" s="73">
        <f>B7</f>
        <v>25</v>
      </c>
      <c r="U26" s="73">
        <f>B7/A2</f>
        <v>5</v>
      </c>
      <c r="V26" s="72">
        <f>B7</f>
        <v>25</v>
      </c>
      <c r="W26" s="72">
        <f>B7/A2</f>
        <v>5</v>
      </c>
      <c r="X26" s="73">
        <f>B7</f>
        <v>25</v>
      </c>
      <c r="Y26" s="73">
        <f>B7/A2</f>
        <v>5</v>
      </c>
      <c r="Z26" s="72">
        <f>B7</f>
        <v>25</v>
      </c>
      <c r="AA26" s="72">
        <f>B7/A2</f>
        <v>5</v>
      </c>
      <c r="AB26" s="73">
        <f>B7</f>
        <v>25</v>
      </c>
      <c r="AC26" s="73">
        <f>B7/A2</f>
        <v>5</v>
      </c>
      <c r="AD26" s="72"/>
      <c r="AE26" s="72"/>
      <c r="AF26" s="73"/>
      <c r="AG26" s="73"/>
      <c r="AH26" s="72">
        <f>B7</f>
        <v>25</v>
      </c>
      <c r="AI26" s="72">
        <f>B7/A2</f>
        <v>5</v>
      </c>
      <c r="AJ26" s="94">
        <f>B7</f>
        <v>25</v>
      </c>
      <c r="AK26" s="94">
        <f>B7/A2</f>
        <v>5</v>
      </c>
      <c r="AL26" s="72">
        <f>B7</f>
        <v>25</v>
      </c>
      <c r="AM26" s="72">
        <f>B7/A2</f>
        <v>5</v>
      </c>
      <c r="AN26" s="94">
        <f>B7</f>
        <v>25</v>
      </c>
      <c r="AO26" s="94">
        <f>B7/A2</f>
        <v>5</v>
      </c>
    </row>
    <row r="27" spans="1:41" ht="12.75">
      <c r="A27" s="78" t="s">
        <v>193</v>
      </c>
      <c r="B27" s="72"/>
      <c r="C27" s="72"/>
      <c r="D27" s="73"/>
      <c r="E27" s="73"/>
      <c r="F27" s="72"/>
      <c r="G27" s="72"/>
      <c r="H27" s="73"/>
      <c r="I27" s="73"/>
      <c r="J27" s="72"/>
      <c r="K27" s="72"/>
      <c r="L27" s="73"/>
      <c r="M27" s="73"/>
      <c r="N27" s="72"/>
      <c r="O27" s="72"/>
      <c r="P27" s="73"/>
      <c r="Q27" s="73"/>
      <c r="R27" s="72"/>
      <c r="S27" s="72"/>
      <c r="T27" s="73"/>
      <c r="U27" s="73"/>
      <c r="V27" s="72"/>
      <c r="W27" s="72"/>
      <c r="X27" s="73"/>
      <c r="Y27" s="73"/>
      <c r="Z27" s="72">
        <f>B8</f>
        <v>100</v>
      </c>
      <c r="AA27" s="72">
        <f>B8/A2</f>
        <v>20</v>
      </c>
      <c r="AB27" s="73">
        <f>B8</f>
        <v>100</v>
      </c>
      <c r="AC27" s="73">
        <f>B8/A2</f>
        <v>20</v>
      </c>
      <c r="AD27" s="72"/>
      <c r="AE27" s="72"/>
      <c r="AF27" s="73"/>
      <c r="AG27" s="73"/>
      <c r="AH27" s="72"/>
      <c r="AI27" s="72"/>
      <c r="AJ27" s="94">
        <f>B8</f>
        <v>100</v>
      </c>
      <c r="AK27" s="94">
        <f>B8/A2</f>
        <v>20</v>
      </c>
      <c r="AL27" s="72">
        <f>B8</f>
        <v>100</v>
      </c>
      <c r="AM27" s="72">
        <f>B8/A2</f>
        <v>20</v>
      </c>
      <c r="AN27" s="94">
        <f>B8</f>
        <v>100</v>
      </c>
      <c r="AO27" s="94">
        <f>B8/A2</f>
        <v>20</v>
      </c>
    </row>
    <row r="28" spans="1:41" ht="12.75">
      <c r="A28" s="78" t="s">
        <v>194</v>
      </c>
      <c r="B28" s="72"/>
      <c r="C28" s="72"/>
      <c r="D28" s="73"/>
      <c r="E28" s="73"/>
      <c r="F28" s="72"/>
      <c r="G28" s="72"/>
      <c r="H28" s="73"/>
      <c r="I28" s="73"/>
      <c r="J28" s="72"/>
      <c r="K28" s="72"/>
      <c r="L28" s="73"/>
      <c r="M28" s="73"/>
      <c r="N28" s="72"/>
      <c r="O28" s="72"/>
      <c r="P28" s="73"/>
      <c r="Q28" s="73"/>
      <c r="R28" s="72"/>
      <c r="S28" s="72"/>
      <c r="T28" s="73"/>
      <c r="U28" s="73"/>
      <c r="V28" s="72"/>
      <c r="W28" s="72"/>
      <c r="X28" s="73"/>
      <c r="Y28" s="73"/>
      <c r="Z28" s="72">
        <f>B9</f>
        <v>12</v>
      </c>
      <c r="AA28" s="72">
        <f>B9/A2</f>
        <v>2.4</v>
      </c>
      <c r="AB28" s="73">
        <f>B9</f>
        <v>12</v>
      </c>
      <c r="AC28" s="73">
        <f>B9/A2</f>
        <v>2.4</v>
      </c>
      <c r="AD28" s="72"/>
      <c r="AE28" s="72"/>
      <c r="AF28" s="73"/>
      <c r="AG28" s="73"/>
      <c r="AH28" s="72"/>
      <c r="AI28" s="72"/>
      <c r="AJ28" s="94">
        <f>B9</f>
        <v>12</v>
      </c>
      <c r="AK28" s="94">
        <f>B9/A2</f>
        <v>2.4</v>
      </c>
      <c r="AL28" s="72">
        <f>B9</f>
        <v>12</v>
      </c>
      <c r="AM28" s="72">
        <f>B9/A2</f>
        <v>2.4</v>
      </c>
      <c r="AN28" s="94">
        <f>B9</f>
        <v>12</v>
      </c>
      <c r="AO28" s="94">
        <f>B9/A2</f>
        <v>2.4</v>
      </c>
    </row>
    <row r="29" spans="1:41" ht="12.75">
      <c r="A29" s="78" t="s">
        <v>203</v>
      </c>
      <c r="B29" s="72"/>
      <c r="C29" s="72"/>
      <c r="D29" s="73"/>
      <c r="E29" s="73"/>
      <c r="F29" s="72">
        <f>B10</f>
        <v>100</v>
      </c>
      <c r="G29" s="72">
        <f>B10/A2</f>
        <v>20</v>
      </c>
      <c r="H29" s="73">
        <f>B10</f>
        <v>100</v>
      </c>
      <c r="I29" s="73">
        <f>B10/A2</f>
        <v>20</v>
      </c>
      <c r="J29" s="72"/>
      <c r="K29" s="72"/>
      <c r="L29" s="73"/>
      <c r="M29" s="73"/>
      <c r="N29" s="72"/>
      <c r="O29" s="72"/>
      <c r="P29" s="73"/>
      <c r="Q29" s="73"/>
      <c r="R29" s="72"/>
      <c r="S29" s="72"/>
      <c r="T29" s="73"/>
      <c r="U29" s="73"/>
      <c r="V29" s="72"/>
      <c r="W29" s="72"/>
      <c r="X29" s="73"/>
      <c r="Y29" s="73"/>
      <c r="Z29" s="72"/>
      <c r="AA29" s="72"/>
      <c r="AB29" s="73"/>
      <c r="AC29" s="73"/>
      <c r="AD29" s="72"/>
      <c r="AE29" s="72"/>
      <c r="AF29" s="73"/>
      <c r="AG29" s="73"/>
      <c r="AH29" s="72"/>
      <c r="AI29" s="72"/>
      <c r="AJ29" s="94"/>
      <c r="AK29" s="94"/>
      <c r="AL29" s="72"/>
      <c r="AM29" s="72"/>
      <c r="AN29" s="94"/>
      <c r="AO29" s="94"/>
    </row>
    <row r="30" spans="1:41" ht="12.75">
      <c r="A30" s="78" t="s">
        <v>211</v>
      </c>
      <c r="B30" s="72"/>
      <c r="C30" s="72"/>
      <c r="D30" s="73"/>
      <c r="E30" s="73"/>
      <c r="F30" s="72"/>
      <c r="G30" s="72"/>
      <c r="H30" s="73"/>
      <c r="I30" s="73"/>
      <c r="J30" s="72"/>
      <c r="K30" s="72"/>
      <c r="L30" s="73"/>
      <c r="M30" s="73"/>
      <c r="N30" s="72"/>
      <c r="O30" s="72"/>
      <c r="P30" s="73"/>
      <c r="Q30" s="73"/>
      <c r="R30" s="72">
        <f>B12</f>
        <v>50</v>
      </c>
      <c r="S30" s="72">
        <f>B12/A2</f>
        <v>10</v>
      </c>
      <c r="T30" s="73"/>
      <c r="U30" s="73"/>
      <c r="V30" s="72"/>
      <c r="W30" s="72"/>
      <c r="X30" s="73"/>
      <c r="Y30" s="73"/>
      <c r="Z30" s="72"/>
      <c r="AA30" s="72"/>
      <c r="AB30" s="73"/>
      <c r="AC30" s="73"/>
      <c r="AD30" s="72"/>
      <c r="AE30" s="72"/>
      <c r="AF30" s="73"/>
      <c r="AG30" s="73"/>
      <c r="AH30" s="72"/>
      <c r="AI30" s="72"/>
      <c r="AJ30" s="94"/>
      <c r="AK30" s="94"/>
      <c r="AL30" s="72"/>
      <c r="AM30" s="72"/>
      <c r="AN30" s="94"/>
      <c r="AO30" s="94"/>
    </row>
    <row r="31" spans="1:41" ht="12.75">
      <c r="A31" s="78" t="s">
        <v>230</v>
      </c>
      <c r="B31" s="72"/>
      <c r="C31" s="72"/>
      <c r="D31" s="73"/>
      <c r="E31" s="73"/>
      <c r="F31" s="72"/>
      <c r="G31" s="72"/>
      <c r="H31" s="73"/>
      <c r="I31" s="73"/>
      <c r="J31" s="72"/>
      <c r="K31" s="72"/>
      <c r="L31" s="73"/>
      <c r="M31" s="73"/>
      <c r="N31" s="72"/>
      <c r="O31" s="72"/>
      <c r="P31" s="73"/>
      <c r="Q31" s="73"/>
      <c r="R31" s="72"/>
      <c r="S31" s="72"/>
      <c r="T31" s="73"/>
      <c r="U31" s="73"/>
      <c r="V31" s="72"/>
      <c r="W31" s="72"/>
      <c r="X31" s="73"/>
      <c r="Y31" s="73"/>
      <c r="Z31" s="72"/>
      <c r="AA31" s="72"/>
      <c r="AB31" s="73"/>
      <c r="AC31" s="73"/>
      <c r="AD31" s="72"/>
      <c r="AE31" s="72"/>
      <c r="AF31" s="73"/>
      <c r="AG31" s="73"/>
      <c r="AH31" s="72"/>
      <c r="AI31" s="72"/>
      <c r="AJ31" s="94">
        <f>AK15*B14</f>
        <v>80</v>
      </c>
      <c r="AK31" s="94">
        <f>(AK15*B14)/A2</f>
        <v>16</v>
      </c>
      <c r="AL31" s="72">
        <f>AM15*B14</f>
        <v>80</v>
      </c>
      <c r="AM31" s="72">
        <f>(AM15*B14)/A2</f>
        <v>16</v>
      </c>
      <c r="AN31" s="94">
        <f>AO15*B14</f>
        <v>80</v>
      </c>
      <c r="AO31" s="94">
        <f>(AO15*B14)/A2</f>
        <v>16</v>
      </c>
    </row>
    <row r="32" spans="1:41" ht="12.75">
      <c r="A32" s="79" t="s">
        <v>199</v>
      </c>
      <c r="B32" s="72"/>
      <c r="C32" s="72"/>
      <c r="D32" s="73"/>
      <c r="E32" s="73"/>
      <c r="F32" s="72"/>
      <c r="G32" s="72"/>
      <c r="H32" s="73"/>
      <c r="I32" s="73"/>
      <c r="J32" s="72"/>
      <c r="K32" s="72"/>
      <c r="L32" s="73"/>
      <c r="M32" s="73"/>
      <c r="N32" s="72"/>
      <c r="O32" s="72"/>
      <c r="P32" s="73"/>
      <c r="Q32" s="73"/>
      <c r="R32" s="72"/>
      <c r="S32" s="72"/>
      <c r="T32" s="73"/>
      <c r="U32" s="73"/>
      <c r="V32" s="72"/>
      <c r="W32" s="72"/>
      <c r="X32" s="73"/>
      <c r="Y32" s="73"/>
      <c r="Z32" s="72"/>
      <c r="AA32" s="72"/>
      <c r="AB32" s="73"/>
      <c r="AC32" s="73"/>
      <c r="AD32" s="72"/>
      <c r="AE32" s="72"/>
      <c r="AF32" s="73">
        <f>B13</f>
        <v>41</v>
      </c>
      <c r="AG32" s="73">
        <f>B13/A2</f>
        <v>8.2</v>
      </c>
      <c r="AH32" s="72">
        <f>B13</f>
        <v>41</v>
      </c>
      <c r="AI32" s="72">
        <f>B13/A2</f>
        <v>8.2</v>
      </c>
      <c r="AJ32" s="94"/>
      <c r="AK32" s="94"/>
      <c r="AL32" s="72"/>
      <c r="AM32" s="72"/>
      <c r="AN32" s="94"/>
      <c r="AO32" s="94"/>
    </row>
    <row r="33" spans="1:41" ht="12.75">
      <c r="A33" s="78"/>
      <c r="B33" s="72"/>
      <c r="C33" s="72"/>
      <c r="D33" s="73"/>
      <c r="E33" s="73"/>
      <c r="F33" s="72"/>
      <c r="G33" s="72"/>
      <c r="H33" s="73"/>
      <c r="I33" s="73"/>
      <c r="J33" s="72"/>
      <c r="K33" s="72"/>
      <c r="L33" s="73"/>
      <c r="M33" s="73"/>
      <c r="N33" s="72"/>
      <c r="O33" s="72"/>
      <c r="P33" s="73"/>
      <c r="Q33" s="73"/>
      <c r="R33" s="72"/>
      <c r="S33" s="72"/>
      <c r="T33" s="73"/>
      <c r="U33" s="73"/>
      <c r="V33" s="72"/>
      <c r="W33" s="72"/>
      <c r="X33" s="73"/>
      <c r="Y33" s="73"/>
      <c r="Z33" s="72"/>
      <c r="AA33" s="72"/>
      <c r="AB33" s="73"/>
      <c r="AC33" s="73"/>
      <c r="AD33" s="72"/>
      <c r="AE33" s="72"/>
      <c r="AF33" s="73"/>
      <c r="AG33" s="73"/>
      <c r="AH33" s="72"/>
      <c r="AI33" s="72"/>
      <c r="AJ33" s="94"/>
      <c r="AK33" s="94"/>
      <c r="AL33" s="72"/>
      <c r="AM33" s="72"/>
      <c r="AN33" s="94"/>
      <c r="AO33" s="94"/>
    </row>
    <row r="34" spans="1:41" ht="12.75">
      <c r="A34" s="80" t="s">
        <v>195</v>
      </c>
      <c r="B34" s="72">
        <f>A4*1.075</f>
        <v>2150</v>
      </c>
      <c r="C34" s="72">
        <f>(A4*1.075)/A2</f>
        <v>430</v>
      </c>
      <c r="D34" s="81">
        <f>A4*1.075</f>
        <v>2150</v>
      </c>
      <c r="E34" s="73">
        <f>(A4*1.075)/A2</f>
        <v>430</v>
      </c>
      <c r="F34" s="82">
        <f>A4*1.075</f>
        <v>2150</v>
      </c>
      <c r="G34" s="72">
        <f>(A4*1.075)/A2</f>
        <v>430</v>
      </c>
      <c r="H34" s="81">
        <f>A4*1.075</f>
        <v>2150</v>
      </c>
      <c r="I34" s="73">
        <f>(A4*1.075)/A2</f>
        <v>430</v>
      </c>
      <c r="J34" s="72"/>
      <c r="K34" s="72"/>
      <c r="L34" s="81">
        <f>A4*1.075</f>
        <v>2150</v>
      </c>
      <c r="M34" s="73">
        <f>(A4*1.075)/A2</f>
        <v>430</v>
      </c>
      <c r="N34" s="72">
        <f>A4*1.075</f>
        <v>2150</v>
      </c>
      <c r="O34" s="72">
        <f>(A4*1.075)/A2</f>
        <v>430</v>
      </c>
      <c r="P34" s="81">
        <f>A4*1.075</f>
        <v>2150</v>
      </c>
      <c r="Q34" s="73">
        <f>(A4*1.075)/A2</f>
        <v>430</v>
      </c>
      <c r="R34" s="82">
        <f>A4*1.075</f>
        <v>2150</v>
      </c>
      <c r="S34" s="72">
        <f>(A4*1.075)/A2</f>
        <v>430</v>
      </c>
      <c r="T34" s="83">
        <f>A4*1.075</f>
        <v>2150</v>
      </c>
      <c r="U34" s="73">
        <f>(A4*1.075)/A2</f>
        <v>430</v>
      </c>
      <c r="V34" s="82">
        <f>A4*1.075</f>
        <v>2150</v>
      </c>
      <c r="W34" s="72">
        <f>(A4*1.075)/A2</f>
        <v>430</v>
      </c>
      <c r="X34" s="81">
        <f>A4*1.075</f>
        <v>2150</v>
      </c>
      <c r="Y34" s="73">
        <f>(A4*1.075)/A2</f>
        <v>430</v>
      </c>
      <c r="Z34" s="72">
        <f>A4*1.075</f>
        <v>2150</v>
      </c>
      <c r="AA34" s="72">
        <f>(A4*1.075)/A2</f>
        <v>430</v>
      </c>
      <c r="AB34" s="73">
        <f>A4*1.075</f>
        <v>2150</v>
      </c>
      <c r="AC34" s="73">
        <f>(A4*1.075)/A2</f>
        <v>430</v>
      </c>
      <c r="AD34" s="72"/>
      <c r="AE34" s="72"/>
      <c r="AF34" s="73"/>
      <c r="AG34" s="73"/>
      <c r="AH34" s="72">
        <f>A4*1.075</f>
        <v>2150</v>
      </c>
      <c r="AI34" s="72">
        <f>(A4*1.075)/A2</f>
        <v>430</v>
      </c>
      <c r="AJ34" s="94">
        <f>A4*1.075</f>
        <v>2150</v>
      </c>
      <c r="AK34" s="94">
        <f>(A4*1.075)/A2</f>
        <v>430</v>
      </c>
      <c r="AL34" s="72">
        <f>A4*1.075</f>
        <v>2150</v>
      </c>
      <c r="AM34" s="72">
        <f>(A4*1.075)/A2</f>
        <v>430</v>
      </c>
      <c r="AN34" s="94">
        <f>A4*1.075</f>
        <v>2150</v>
      </c>
      <c r="AO34" s="94">
        <f>(A4*1.075)/A2</f>
        <v>430</v>
      </c>
    </row>
    <row r="35" spans="1:41" ht="12.75">
      <c r="A35" s="79" t="s">
        <v>214</v>
      </c>
      <c r="B35" s="72">
        <f aca="true" t="shared" si="2" ref="B35:G35">B34*0.1116</f>
        <v>239.94</v>
      </c>
      <c r="C35" s="84">
        <f>C34*0.1116</f>
        <v>47.988</v>
      </c>
      <c r="D35" s="73">
        <f t="shared" si="2"/>
        <v>239.94</v>
      </c>
      <c r="E35" s="85">
        <f t="shared" si="2"/>
        <v>47.988</v>
      </c>
      <c r="F35" s="72">
        <f t="shared" si="2"/>
        <v>239.94</v>
      </c>
      <c r="G35" s="84">
        <f t="shared" si="2"/>
        <v>47.988</v>
      </c>
      <c r="H35" s="73">
        <f>H34*0.1116</f>
        <v>239.94</v>
      </c>
      <c r="I35" s="85">
        <f>I34*0.1116</f>
        <v>47.988</v>
      </c>
      <c r="J35" s="72"/>
      <c r="K35" s="72"/>
      <c r="L35" s="73">
        <f aca="true" t="shared" si="3" ref="L35:AC35">L34*0.1116</f>
        <v>239.94</v>
      </c>
      <c r="M35" s="85">
        <f t="shared" si="3"/>
        <v>47.988</v>
      </c>
      <c r="N35" s="72">
        <f t="shared" si="3"/>
        <v>239.94</v>
      </c>
      <c r="O35" s="84">
        <f t="shared" si="3"/>
        <v>47.988</v>
      </c>
      <c r="P35" s="73">
        <f t="shared" si="3"/>
        <v>239.94</v>
      </c>
      <c r="Q35" s="85">
        <f t="shared" si="3"/>
        <v>47.988</v>
      </c>
      <c r="R35" s="72">
        <f t="shared" si="3"/>
        <v>239.94</v>
      </c>
      <c r="S35" s="84">
        <f t="shared" si="3"/>
        <v>47.988</v>
      </c>
      <c r="T35" s="73">
        <f t="shared" si="3"/>
        <v>239.94</v>
      </c>
      <c r="U35" s="85">
        <f t="shared" si="3"/>
        <v>47.988</v>
      </c>
      <c r="V35" s="72">
        <f t="shared" si="3"/>
        <v>239.94</v>
      </c>
      <c r="W35" s="84">
        <f t="shared" si="3"/>
        <v>47.988</v>
      </c>
      <c r="X35" s="73">
        <f t="shared" si="3"/>
        <v>239.94</v>
      </c>
      <c r="Y35" s="85">
        <f t="shared" si="3"/>
        <v>47.988</v>
      </c>
      <c r="Z35" s="72">
        <f t="shared" si="3"/>
        <v>239.94</v>
      </c>
      <c r="AA35" s="84">
        <f t="shared" si="3"/>
        <v>47.988</v>
      </c>
      <c r="AB35" s="73">
        <f t="shared" si="3"/>
        <v>239.94</v>
      </c>
      <c r="AC35" s="85">
        <f t="shared" si="3"/>
        <v>47.988</v>
      </c>
      <c r="AD35" s="86"/>
      <c r="AE35" s="86"/>
      <c r="AF35" s="73"/>
      <c r="AG35" s="87"/>
      <c r="AH35" s="72">
        <f aca="true" t="shared" si="4" ref="AH35:AO35">AH34*0.1116</f>
        <v>239.94</v>
      </c>
      <c r="AI35" s="84">
        <f t="shared" si="4"/>
        <v>47.988</v>
      </c>
      <c r="AJ35" s="94">
        <f t="shared" si="4"/>
        <v>239.94</v>
      </c>
      <c r="AK35" s="95">
        <f t="shared" si="4"/>
        <v>47.988</v>
      </c>
      <c r="AL35" s="72">
        <f t="shared" si="4"/>
        <v>239.94</v>
      </c>
      <c r="AM35" s="84">
        <f t="shared" si="4"/>
        <v>47.988</v>
      </c>
      <c r="AN35" s="94">
        <f t="shared" si="4"/>
        <v>239.94</v>
      </c>
      <c r="AO35" s="95">
        <f t="shared" si="4"/>
        <v>47.988</v>
      </c>
    </row>
    <row r="36" spans="1:41" ht="12.75">
      <c r="A36" s="78" t="s">
        <v>215</v>
      </c>
      <c r="B36" s="72">
        <f aca="true" t="shared" si="5" ref="B36:G36">B34*0.8884</f>
        <v>1910.06</v>
      </c>
      <c r="C36" s="84">
        <f t="shared" si="5"/>
        <v>382.012</v>
      </c>
      <c r="D36" s="73">
        <f t="shared" si="5"/>
        <v>1910.06</v>
      </c>
      <c r="E36" s="85">
        <f t="shared" si="5"/>
        <v>382.012</v>
      </c>
      <c r="F36" s="72">
        <f t="shared" si="5"/>
        <v>1910.06</v>
      </c>
      <c r="G36" s="84">
        <f t="shared" si="5"/>
        <v>382.012</v>
      </c>
      <c r="H36" s="73">
        <f>H34*0.8884</f>
        <v>1910.06</v>
      </c>
      <c r="I36" s="85">
        <f>I34*0.8884</f>
        <v>382.012</v>
      </c>
      <c r="J36" s="72"/>
      <c r="K36" s="72"/>
      <c r="L36" s="73">
        <f aca="true" t="shared" si="6" ref="L36:AA36">L34*0.8884</f>
        <v>1910.06</v>
      </c>
      <c r="M36" s="85">
        <f t="shared" si="6"/>
        <v>382.012</v>
      </c>
      <c r="N36" s="72">
        <f t="shared" si="6"/>
        <v>1910.06</v>
      </c>
      <c r="O36" s="84">
        <f t="shared" si="6"/>
        <v>382.012</v>
      </c>
      <c r="P36" s="73">
        <f t="shared" si="6"/>
        <v>1910.06</v>
      </c>
      <c r="Q36" s="85">
        <f t="shared" si="6"/>
        <v>382.012</v>
      </c>
      <c r="R36" s="72">
        <f>R34*0.8884</f>
        <v>1910.06</v>
      </c>
      <c r="S36" s="84">
        <f>S34*0.8884</f>
        <v>382.012</v>
      </c>
      <c r="T36" s="73">
        <f>T34*0.8884</f>
        <v>1910.06</v>
      </c>
      <c r="U36" s="85">
        <f>U34*0.8884</f>
        <v>382.012</v>
      </c>
      <c r="V36" s="72">
        <f t="shared" si="6"/>
        <v>1910.06</v>
      </c>
      <c r="W36" s="84">
        <f t="shared" si="6"/>
        <v>382.012</v>
      </c>
      <c r="X36" s="73">
        <f t="shared" si="6"/>
        <v>1910.06</v>
      </c>
      <c r="Y36" s="85">
        <f t="shared" si="6"/>
        <v>382.012</v>
      </c>
      <c r="Z36" s="72">
        <f t="shared" si="6"/>
        <v>1910.06</v>
      </c>
      <c r="AA36" s="84">
        <f t="shared" si="6"/>
        <v>382.012</v>
      </c>
      <c r="AB36" s="73">
        <f>AB34*0.8884</f>
        <v>1910.06</v>
      </c>
      <c r="AC36" s="85">
        <f>AC34*0.8884</f>
        <v>382.012</v>
      </c>
      <c r="AD36" s="86"/>
      <c r="AE36" s="86"/>
      <c r="AF36" s="73"/>
      <c r="AG36" s="87"/>
      <c r="AH36" s="72">
        <f aca="true" t="shared" si="7" ref="AH36:AO36">AH34*0.8884</f>
        <v>1910.06</v>
      </c>
      <c r="AI36" s="84">
        <f t="shared" si="7"/>
        <v>382.012</v>
      </c>
      <c r="AJ36" s="94">
        <f t="shared" si="7"/>
        <v>1910.06</v>
      </c>
      <c r="AK36" s="95">
        <f t="shared" si="7"/>
        <v>382.012</v>
      </c>
      <c r="AL36" s="72">
        <f t="shared" si="7"/>
        <v>1910.06</v>
      </c>
      <c r="AM36" s="84">
        <f t="shared" si="7"/>
        <v>382.012</v>
      </c>
      <c r="AN36" s="94">
        <f t="shared" si="7"/>
        <v>1910.06</v>
      </c>
      <c r="AO36" s="95">
        <f t="shared" si="7"/>
        <v>382.012</v>
      </c>
    </row>
    <row r="37" spans="1:41" ht="12.75">
      <c r="A37" s="78"/>
      <c r="B37" s="72"/>
      <c r="C37" s="72"/>
      <c r="D37" s="73"/>
      <c r="E37" s="73"/>
      <c r="F37" s="72"/>
      <c r="G37" s="72"/>
      <c r="H37" s="73"/>
      <c r="I37" s="73"/>
      <c r="J37" s="72"/>
      <c r="K37" s="72"/>
      <c r="L37" s="73"/>
      <c r="M37" s="73"/>
      <c r="N37" s="72"/>
      <c r="O37" s="72"/>
      <c r="P37" s="73"/>
      <c r="Q37" s="73"/>
      <c r="R37" s="72"/>
      <c r="S37" s="72"/>
      <c r="T37" s="73"/>
      <c r="U37" s="73"/>
      <c r="V37" s="72"/>
      <c r="W37" s="72"/>
      <c r="X37" s="73"/>
      <c r="Y37" s="73"/>
      <c r="Z37" s="72"/>
      <c r="AA37" s="72"/>
      <c r="AB37" s="73"/>
      <c r="AC37" s="73"/>
      <c r="AD37" s="72"/>
      <c r="AE37" s="72"/>
      <c r="AF37" s="73"/>
      <c r="AG37" s="73"/>
      <c r="AH37" s="72"/>
      <c r="AI37" s="72"/>
      <c r="AJ37" s="94"/>
      <c r="AK37" s="94"/>
      <c r="AL37" s="72"/>
      <c r="AM37" s="72"/>
      <c r="AN37" s="94"/>
      <c r="AO37" s="94"/>
    </row>
    <row r="38" spans="1:41" ht="12.75">
      <c r="A38" s="76" t="s">
        <v>180</v>
      </c>
      <c r="B38" s="72">
        <f>A4</f>
        <v>2000</v>
      </c>
      <c r="C38" s="72">
        <f>A4/A2</f>
        <v>400</v>
      </c>
      <c r="D38" s="73">
        <f>A4</f>
        <v>2000</v>
      </c>
      <c r="E38" s="73">
        <f>A4/A2</f>
        <v>400</v>
      </c>
      <c r="F38" s="72">
        <f>A4</f>
        <v>2000</v>
      </c>
      <c r="G38" s="72">
        <f>A4/A2</f>
        <v>400</v>
      </c>
      <c r="H38" s="73">
        <f>A4</f>
        <v>2000</v>
      </c>
      <c r="I38" s="73">
        <f>A4/A2</f>
        <v>400</v>
      </c>
      <c r="J38" s="72">
        <f>SUM(J40:J42)</f>
        <v>2000</v>
      </c>
      <c r="K38" s="72">
        <f>SUM(K40:K42)</f>
        <v>400</v>
      </c>
      <c r="L38" s="73">
        <f>A4</f>
        <v>2000</v>
      </c>
      <c r="M38" s="73">
        <f>A4/A2</f>
        <v>400</v>
      </c>
      <c r="N38" s="72">
        <f>A4</f>
        <v>2000</v>
      </c>
      <c r="O38" s="72">
        <f>A4/A2</f>
        <v>400</v>
      </c>
      <c r="P38" s="73">
        <f>A4</f>
        <v>2000</v>
      </c>
      <c r="Q38" s="73">
        <f>A4/A2</f>
        <v>400</v>
      </c>
      <c r="R38" s="72">
        <f>A4-R49</f>
        <v>2000</v>
      </c>
      <c r="S38" s="88">
        <f>(A4-S49)/A2</f>
        <v>400</v>
      </c>
      <c r="T38" s="73">
        <f>A4</f>
        <v>2000</v>
      </c>
      <c r="U38" s="89">
        <f>A4/A2</f>
        <v>400</v>
      </c>
      <c r="V38" s="72">
        <f>A4</f>
        <v>2000</v>
      </c>
      <c r="W38" s="72">
        <f>A4/A2</f>
        <v>400</v>
      </c>
      <c r="X38" s="73">
        <f>A4</f>
        <v>2000</v>
      </c>
      <c r="Y38" s="73">
        <f>A4/A2</f>
        <v>400</v>
      </c>
      <c r="Z38" s="72">
        <f>A4</f>
        <v>2000</v>
      </c>
      <c r="AA38" s="72">
        <f>A4/A2</f>
        <v>400</v>
      </c>
      <c r="AB38" s="73">
        <f>A4</f>
        <v>2000</v>
      </c>
      <c r="AC38" s="73">
        <f>A4/A2</f>
        <v>400</v>
      </c>
      <c r="AD38" s="72"/>
      <c r="AE38" s="72"/>
      <c r="AF38" s="73"/>
      <c r="AG38" s="73"/>
      <c r="AH38" s="72">
        <f>A4</f>
        <v>2000</v>
      </c>
      <c r="AI38" s="72">
        <f>A4/A2</f>
        <v>400</v>
      </c>
      <c r="AJ38" s="94">
        <f>A4</f>
        <v>2000</v>
      </c>
      <c r="AK38" s="94">
        <f>A4/A2</f>
        <v>400</v>
      </c>
      <c r="AL38" s="72">
        <f>A4-(AL48+AL49)</f>
        <v>1700</v>
      </c>
      <c r="AM38" s="72">
        <f>(A4-(AM48+AM49))/A2</f>
        <v>388</v>
      </c>
      <c r="AN38" s="94">
        <f>A4</f>
        <v>2000</v>
      </c>
      <c r="AO38" s="94">
        <f>A4/A2</f>
        <v>400</v>
      </c>
    </row>
    <row r="39" spans="1:41" ht="12.75">
      <c r="A39" s="71" t="s">
        <v>4</v>
      </c>
      <c r="B39" s="72"/>
      <c r="C39" s="72"/>
      <c r="D39" s="73"/>
      <c r="E39" s="73"/>
      <c r="F39" s="72"/>
      <c r="G39" s="72"/>
      <c r="H39" s="73"/>
      <c r="I39" s="73"/>
      <c r="J39" s="72"/>
      <c r="K39" s="72"/>
      <c r="L39" s="73"/>
      <c r="M39" s="73"/>
      <c r="N39" s="72"/>
      <c r="O39" s="72"/>
      <c r="P39" s="73"/>
      <c r="Q39" s="73"/>
      <c r="R39" s="72"/>
      <c r="S39" s="72"/>
      <c r="T39" s="73"/>
      <c r="U39" s="73"/>
      <c r="V39" s="72"/>
      <c r="W39" s="72"/>
      <c r="X39" s="73"/>
      <c r="Y39" s="73"/>
      <c r="Z39" s="72"/>
      <c r="AA39" s="72"/>
      <c r="AB39" s="73"/>
      <c r="AC39" s="73"/>
      <c r="AD39" s="72"/>
      <c r="AE39" s="72"/>
      <c r="AF39" s="73"/>
      <c r="AG39" s="73"/>
      <c r="AH39" s="72"/>
      <c r="AI39" s="72"/>
      <c r="AJ39" s="94"/>
      <c r="AK39" s="94"/>
      <c r="AL39" s="72"/>
      <c r="AM39" s="72"/>
      <c r="AN39" s="94"/>
      <c r="AO39" s="94"/>
    </row>
    <row r="40" spans="1:41" ht="12.75">
      <c r="A40" s="78" t="s">
        <v>217</v>
      </c>
      <c r="B40" s="72">
        <f aca="true" t="shared" si="8" ref="B40:I40">B38*0.44</f>
        <v>880</v>
      </c>
      <c r="C40" s="72">
        <f t="shared" si="8"/>
        <v>176</v>
      </c>
      <c r="D40" s="73">
        <f t="shared" si="8"/>
        <v>880</v>
      </c>
      <c r="E40" s="73">
        <f t="shared" si="8"/>
        <v>176</v>
      </c>
      <c r="F40" s="72">
        <f t="shared" si="8"/>
        <v>880</v>
      </c>
      <c r="G40" s="72">
        <f t="shared" si="8"/>
        <v>176</v>
      </c>
      <c r="H40" s="73">
        <f t="shared" si="8"/>
        <v>880</v>
      </c>
      <c r="I40" s="73">
        <f t="shared" si="8"/>
        <v>176</v>
      </c>
      <c r="J40" s="72">
        <f>J20/4</f>
        <v>500</v>
      </c>
      <c r="K40" s="72">
        <f>(A4*0.25)/A2</f>
        <v>100</v>
      </c>
      <c r="L40" s="73"/>
      <c r="M40" s="73"/>
      <c r="N40" s="72">
        <f>(N38*0.44)/2</f>
        <v>440</v>
      </c>
      <c r="O40" s="72">
        <f>(O38*0.44)/2</f>
        <v>88</v>
      </c>
      <c r="P40" s="73"/>
      <c r="Q40" s="73"/>
      <c r="R40" s="72">
        <f>(R38*0.44)*0.25</f>
        <v>220</v>
      </c>
      <c r="S40" s="72">
        <f>(S38*0.44)*0.25</f>
        <v>44</v>
      </c>
      <c r="T40" s="73">
        <f>(T38*0.44)*0.25</f>
        <v>220</v>
      </c>
      <c r="U40" s="73">
        <f>(U38*0.44)*0.25</f>
        <v>44</v>
      </c>
      <c r="V40" s="72"/>
      <c r="W40" s="72"/>
      <c r="X40" s="73">
        <f>(X38*0.44)*0.25</f>
        <v>220</v>
      </c>
      <c r="Y40" s="73">
        <f>(Y38*0.44)*0.25</f>
        <v>44</v>
      </c>
      <c r="Z40" s="72">
        <f>Z38*0.44</f>
        <v>880</v>
      </c>
      <c r="AA40" s="72">
        <f>AA38*0.44</f>
        <v>176</v>
      </c>
      <c r="AB40" s="73">
        <f>(AB38-AB48)*0.44</f>
        <v>836</v>
      </c>
      <c r="AC40" s="73">
        <f>(AC38-AC48)*0.44</f>
        <v>167.2</v>
      </c>
      <c r="AD40" s="72"/>
      <c r="AE40" s="72"/>
      <c r="AF40" s="73"/>
      <c r="AG40" s="73"/>
      <c r="AH40" s="72">
        <f>AH38*0.44</f>
        <v>880</v>
      </c>
      <c r="AI40" s="72">
        <f>AI38*0.44</f>
        <v>176</v>
      </c>
      <c r="AJ40" s="94">
        <f>AJ38*0.44</f>
        <v>880</v>
      </c>
      <c r="AK40" s="94">
        <f>AK38*0.44</f>
        <v>176</v>
      </c>
      <c r="AL40" s="72">
        <f>(AL38-AL48)*0.44</f>
        <v>704</v>
      </c>
      <c r="AM40" s="72">
        <f>(AM38-AM48)*0.44</f>
        <v>161.92</v>
      </c>
      <c r="AN40" s="94">
        <f>AN38*0.44</f>
        <v>880</v>
      </c>
      <c r="AO40" s="94">
        <f>AO38*0.44</f>
        <v>176</v>
      </c>
    </row>
    <row r="41" spans="1:41" ht="12.75">
      <c r="A41" s="79" t="s">
        <v>216</v>
      </c>
      <c r="B41" s="72">
        <f aca="true" t="shared" si="9" ref="B41:I41">B38*0.56</f>
        <v>1120</v>
      </c>
      <c r="C41" s="72">
        <f t="shared" si="9"/>
        <v>224.00000000000003</v>
      </c>
      <c r="D41" s="73">
        <f t="shared" si="9"/>
        <v>1120</v>
      </c>
      <c r="E41" s="73">
        <f t="shared" si="9"/>
        <v>224.00000000000003</v>
      </c>
      <c r="F41" s="72">
        <f t="shared" si="9"/>
        <v>1120</v>
      </c>
      <c r="G41" s="72">
        <f t="shared" si="9"/>
        <v>224.00000000000003</v>
      </c>
      <c r="H41" s="73">
        <f t="shared" si="9"/>
        <v>1120</v>
      </c>
      <c r="I41" s="73">
        <f t="shared" si="9"/>
        <v>224.00000000000003</v>
      </c>
      <c r="J41" s="72">
        <f>J20/2</f>
        <v>1000</v>
      </c>
      <c r="K41" s="72">
        <f>(A4*0.5)/A2</f>
        <v>200</v>
      </c>
      <c r="L41" s="73"/>
      <c r="M41" s="73"/>
      <c r="N41" s="72">
        <f>(N38*0.56)/2</f>
        <v>560</v>
      </c>
      <c r="O41" s="72">
        <f>(O38*0.56)/2</f>
        <v>112.00000000000001</v>
      </c>
      <c r="P41" s="73"/>
      <c r="Q41" s="73"/>
      <c r="R41" s="72">
        <f>(R38*0.56)*0.25</f>
        <v>280</v>
      </c>
      <c r="S41" s="72">
        <f>(S38*0.56)*0.25</f>
        <v>56.00000000000001</v>
      </c>
      <c r="T41" s="73">
        <f>(T38*0.56)*0.25</f>
        <v>280</v>
      </c>
      <c r="U41" s="73">
        <f>(U38*0.56)*0.25</f>
        <v>56.00000000000001</v>
      </c>
      <c r="V41" s="72"/>
      <c r="W41" s="72"/>
      <c r="X41" s="73">
        <f>(X38*0.56)*0.25</f>
        <v>280</v>
      </c>
      <c r="Y41" s="73">
        <f>(Y38*0.56)*0.25</f>
        <v>56.00000000000001</v>
      </c>
      <c r="Z41" s="72">
        <f>Z38*0.56</f>
        <v>1120</v>
      </c>
      <c r="AA41" s="72">
        <f>AA38*0.56</f>
        <v>224.00000000000003</v>
      </c>
      <c r="AB41" s="73">
        <f>(AB38-AB48)*0.56</f>
        <v>1064</v>
      </c>
      <c r="AC41" s="73">
        <f>(AC38-AC48)*0.56</f>
        <v>212.8</v>
      </c>
      <c r="AD41" s="72">
        <f>A4</f>
        <v>2000</v>
      </c>
      <c r="AE41" s="72">
        <f>A4/A2</f>
        <v>400</v>
      </c>
      <c r="AF41" s="73"/>
      <c r="AG41" s="73"/>
      <c r="AH41" s="72">
        <f>AH38*0.56</f>
        <v>1120</v>
      </c>
      <c r="AI41" s="72">
        <f>AI38*0.56</f>
        <v>224.00000000000003</v>
      </c>
      <c r="AJ41" s="94">
        <f>AJ38*0.56</f>
        <v>1120</v>
      </c>
      <c r="AK41" s="94">
        <f>AK38*0.56</f>
        <v>224.00000000000003</v>
      </c>
      <c r="AL41" s="72">
        <f>(AL38-AL48)*0.56</f>
        <v>896.0000000000001</v>
      </c>
      <c r="AM41" s="72">
        <f>(AM38-AM48)*0.56</f>
        <v>206.08</v>
      </c>
      <c r="AN41" s="94">
        <f>AN38*0.56</f>
        <v>1120</v>
      </c>
      <c r="AO41" s="94">
        <f>AO38*0.56</f>
        <v>224.00000000000003</v>
      </c>
    </row>
    <row r="42" spans="1:41" ht="12.75">
      <c r="A42" s="78" t="s">
        <v>2</v>
      </c>
      <c r="B42" s="72"/>
      <c r="C42" s="72"/>
      <c r="D42" s="73"/>
      <c r="E42" s="73"/>
      <c r="F42" s="72"/>
      <c r="G42" s="72"/>
      <c r="H42" s="73"/>
      <c r="I42" s="73"/>
      <c r="J42" s="72">
        <f>J20/4</f>
        <v>500</v>
      </c>
      <c r="K42" s="72">
        <f>(A4*0.25)/A2</f>
        <v>100</v>
      </c>
      <c r="L42" s="73"/>
      <c r="M42" s="73"/>
      <c r="N42" s="72"/>
      <c r="O42" s="72"/>
      <c r="P42" s="73"/>
      <c r="Q42" s="73"/>
      <c r="R42" s="72"/>
      <c r="S42" s="72"/>
      <c r="T42" s="73"/>
      <c r="U42" s="73"/>
      <c r="V42" s="72"/>
      <c r="W42" s="72"/>
      <c r="X42" s="73"/>
      <c r="Y42" s="73"/>
      <c r="Z42" s="72"/>
      <c r="AA42" s="72"/>
      <c r="AB42" s="73"/>
      <c r="AC42" s="73"/>
      <c r="AD42" s="72"/>
      <c r="AE42" s="72"/>
      <c r="AF42" s="73"/>
      <c r="AG42" s="73"/>
      <c r="AH42" s="72"/>
      <c r="AI42" s="72"/>
      <c r="AJ42" s="94"/>
      <c r="AK42" s="94"/>
      <c r="AL42" s="72"/>
      <c r="AM42" s="72"/>
      <c r="AN42" s="94"/>
      <c r="AO42" s="94"/>
    </row>
    <row r="43" spans="1:41" ht="12.75">
      <c r="A43" s="78" t="s">
        <v>3</v>
      </c>
      <c r="B43" s="72"/>
      <c r="C43" s="72"/>
      <c r="D43" s="73"/>
      <c r="E43" s="73"/>
      <c r="F43" s="72"/>
      <c r="G43" s="72"/>
      <c r="H43" s="73"/>
      <c r="I43" s="73"/>
      <c r="J43" s="72"/>
      <c r="K43" s="72"/>
      <c r="L43" s="73">
        <f>A4</f>
        <v>2000</v>
      </c>
      <c r="M43" s="73">
        <f>A4/A2</f>
        <v>400</v>
      </c>
      <c r="N43" s="72"/>
      <c r="O43" s="72"/>
      <c r="P43" s="73"/>
      <c r="Q43" s="73"/>
      <c r="R43" s="72"/>
      <c r="S43" s="72"/>
      <c r="T43" s="73"/>
      <c r="U43" s="73"/>
      <c r="V43" s="72"/>
      <c r="W43" s="72"/>
      <c r="X43" s="73"/>
      <c r="Y43" s="73"/>
      <c r="Z43" s="72"/>
      <c r="AA43" s="72"/>
      <c r="AB43" s="73"/>
      <c r="AC43" s="73"/>
      <c r="AD43" s="72"/>
      <c r="AE43" s="72"/>
      <c r="AF43" s="73"/>
      <c r="AG43" s="73"/>
      <c r="AH43" s="72"/>
      <c r="AI43" s="72"/>
      <c r="AJ43" s="94"/>
      <c r="AK43" s="94"/>
      <c r="AL43" s="72"/>
      <c r="AM43" s="72"/>
      <c r="AN43" s="94"/>
      <c r="AO43" s="94"/>
    </row>
    <row r="44" spans="1:41" ht="12.75">
      <c r="A44" s="78" t="s">
        <v>17</v>
      </c>
      <c r="B44" s="72"/>
      <c r="C44" s="72"/>
      <c r="D44" s="73"/>
      <c r="E44" s="73"/>
      <c r="F44" s="72"/>
      <c r="G44" s="72"/>
      <c r="H44" s="73"/>
      <c r="I44" s="73"/>
      <c r="J44" s="72"/>
      <c r="K44" s="72"/>
      <c r="L44" s="73"/>
      <c r="M44" s="73"/>
      <c r="N44" s="72">
        <f>A4/2</f>
        <v>1000</v>
      </c>
      <c r="O44" s="72">
        <f>(A4/2)/A2</f>
        <v>200</v>
      </c>
      <c r="P44" s="73"/>
      <c r="Q44" s="73"/>
      <c r="R44" s="72"/>
      <c r="S44" s="72"/>
      <c r="T44" s="73"/>
      <c r="U44" s="73"/>
      <c r="V44" s="72"/>
      <c r="W44" s="72"/>
      <c r="X44" s="73"/>
      <c r="Y44" s="73"/>
      <c r="Z44" s="72"/>
      <c r="AA44" s="72"/>
      <c r="AB44" s="73"/>
      <c r="AC44" s="73"/>
      <c r="AD44" s="72"/>
      <c r="AE44" s="72"/>
      <c r="AF44" s="73"/>
      <c r="AG44" s="73"/>
      <c r="AH44" s="72"/>
      <c r="AI44" s="72"/>
      <c r="AJ44" s="94"/>
      <c r="AK44" s="94"/>
      <c r="AL44" s="72"/>
      <c r="AM44" s="72"/>
      <c r="AN44" s="94"/>
      <c r="AO44" s="94"/>
    </row>
    <row r="45" spans="1:41" ht="12.75">
      <c r="A45" s="74" t="s">
        <v>18</v>
      </c>
      <c r="B45" s="72"/>
      <c r="C45" s="72"/>
      <c r="D45" s="73"/>
      <c r="E45" s="73"/>
      <c r="F45" s="72"/>
      <c r="G45" s="72"/>
      <c r="H45" s="73"/>
      <c r="I45" s="73"/>
      <c r="J45" s="72"/>
      <c r="K45" s="72"/>
      <c r="L45" s="73"/>
      <c r="M45" s="73"/>
      <c r="N45" s="72"/>
      <c r="O45" s="72"/>
      <c r="P45" s="73">
        <f>A4</f>
        <v>2000</v>
      </c>
      <c r="Q45" s="73">
        <f>A4/A2</f>
        <v>400</v>
      </c>
      <c r="R45" s="72">
        <f>R38*0.75</f>
        <v>1500</v>
      </c>
      <c r="S45" s="72">
        <f>S38*0.75</f>
        <v>300</v>
      </c>
      <c r="T45" s="73">
        <f>T38*0.75</f>
        <v>1500</v>
      </c>
      <c r="U45" s="73">
        <f>U38*0.75</f>
        <v>300</v>
      </c>
      <c r="V45" s="72"/>
      <c r="W45" s="72"/>
      <c r="X45" s="73"/>
      <c r="Y45" s="73"/>
      <c r="Z45" s="72"/>
      <c r="AA45" s="72"/>
      <c r="AB45" s="73"/>
      <c r="AC45" s="73"/>
      <c r="AD45" s="72"/>
      <c r="AE45" s="72"/>
      <c r="AF45" s="73"/>
      <c r="AG45" s="73"/>
      <c r="AH45" s="72"/>
      <c r="AI45" s="72"/>
      <c r="AJ45" s="94"/>
      <c r="AK45" s="94"/>
      <c r="AL45" s="72"/>
      <c r="AM45" s="72"/>
      <c r="AN45" s="94"/>
      <c r="AO45" s="94"/>
    </row>
    <row r="46" spans="1:41" ht="12.75">
      <c r="A46" s="74" t="s">
        <v>5</v>
      </c>
      <c r="B46" s="72"/>
      <c r="C46" s="72"/>
      <c r="D46" s="73"/>
      <c r="E46" s="73"/>
      <c r="F46" s="72"/>
      <c r="G46" s="72"/>
      <c r="H46" s="73"/>
      <c r="I46" s="73"/>
      <c r="J46" s="72"/>
      <c r="K46" s="72"/>
      <c r="L46" s="73"/>
      <c r="M46" s="73"/>
      <c r="N46" s="72"/>
      <c r="O46" s="72"/>
      <c r="P46" s="73"/>
      <c r="Q46" s="73"/>
      <c r="R46" s="72"/>
      <c r="S46" s="72"/>
      <c r="T46" s="73"/>
      <c r="U46" s="73"/>
      <c r="V46" s="72">
        <f>A4</f>
        <v>2000</v>
      </c>
      <c r="W46" s="72">
        <f>A4/A2</f>
        <v>400</v>
      </c>
      <c r="X46" s="73"/>
      <c r="Y46" s="73"/>
      <c r="Z46" s="72"/>
      <c r="AA46" s="72"/>
      <c r="AB46" s="73"/>
      <c r="AC46" s="73"/>
      <c r="AD46" s="72"/>
      <c r="AE46" s="72"/>
      <c r="AF46" s="73"/>
      <c r="AG46" s="73"/>
      <c r="AH46" s="72"/>
      <c r="AI46" s="72"/>
      <c r="AJ46" s="94"/>
      <c r="AK46" s="94"/>
      <c r="AL46" s="72"/>
      <c r="AM46" s="72"/>
      <c r="AN46" s="94"/>
      <c r="AO46" s="94"/>
    </row>
    <row r="47" spans="1:41" ht="12.75">
      <c r="A47" s="74" t="s">
        <v>6</v>
      </c>
      <c r="B47" s="72"/>
      <c r="C47" s="72"/>
      <c r="D47" s="73"/>
      <c r="E47" s="73"/>
      <c r="F47" s="72"/>
      <c r="G47" s="72"/>
      <c r="H47" s="73"/>
      <c r="I47" s="73"/>
      <c r="J47" s="72"/>
      <c r="K47" s="72"/>
      <c r="L47" s="73"/>
      <c r="M47" s="73"/>
      <c r="N47" s="72"/>
      <c r="O47" s="72"/>
      <c r="P47" s="73"/>
      <c r="Q47" s="73"/>
      <c r="R47" s="72"/>
      <c r="S47" s="72"/>
      <c r="T47" s="73"/>
      <c r="U47" s="73"/>
      <c r="V47" s="72"/>
      <c r="W47" s="72"/>
      <c r="X47" s="73">
        <f>A4*0.75</f>
        <v>1500</v>
      </c>
      <c r="Y47" s="73">
        <f>(A4*0.75)/A2</f>
        <v>300</v>
      </c>
      <c r="Z47" s="72"/>
      <c r="AA47" s="72"/>
      <c r="AB47" s="73"/>
      <c r="AC47" s="73"/>
      <c r="AD47" s="72"/>
      <c r="AE47" s="72"/>
      <c r="AF47" s="73"/>
      <c r="AG47" s="73"/>
      <c r="AH47" s="72"/>
      <c r="AI47" s="72"/>
      <c r="AJ47" s="94"/>
      <c r="AK47" s="94"/>
      <c r="AL47" s="72"/>
      <c r="AM47" s="72"/>
      <c r="AN47" s="94"/>
      <c r="AO47" s="94"/>
    </row>
    <row r="48" spans="1:41" ht="12.75">
      <c r="A48" s="74" t="s">
        <v>213</v>
      </c>
      <c r="B48" s="72"/>
      <c r="C48" s="72"/>
      <c r="D48" s="73"/>
      <c r="E48" s="73"/>
      <c r="F48" s="72"/>
      <c r="G48" s="72"/>
      <c r="H48" s="73"/>
      <c r="I48" s="73"/>
      <c r="J48" s="72"/>
      <c r="K48" s="72"/>
      <c r="L48" s="73"/>
      <c r="M48" s="73"/>
      <c r="N48" s="72"/>
      <c r="O48" s="72"/>
      <c r="P48" s="73"/>
      <c r="Q48" s="73"/>
      <c r="R48" s="72"/>
      <c r="S48" s="72"/>
      <c r="T48" s="73"/>
      <c r="U48" s="73"/>
      <c r="V48" s="72"/>
      <c r="W48" s="72"/>
      <c r="X48" s="73"/>
      <c r="Y48" s="73"/>
      <c r="Z48" s="72"/>
      <c r="AA48" s="72"/>
      <c r="AB48" s="90">
        <v>100</v>
      </c>
      <c r="AC48" s="90">
        <f>AB48/A2</f>
        <v>20</v>
      </c>
      <c r="AD48" s="72"/>
      <c r="AE48" s="72"/>
      <c r="AF48" s="73"/>
      <c r="AG48" s="73"/>
      <c r="AH48" s="72"/>
      <c r="AI48" s="72"/>
      <c r="AJ48" s="94">
        <v>100</v>
      </c>
      <c r="AK48" s="94">
        <v>100</v>
      </c>
      <c r="AL48" s="72">
        <v>100</v>
      </c>
      <c r="AM48" s="72">
        <f>AL48/A2</f>
        <v>20</v>
      </c>
      <c r="AN48" s="94">
        <v>100</v>
      </c>
      <c r="AO48" s="94">
        <v>100</v>
      </c>
    </row>
    <row r="49" spans="1:41" ht="12.75">
      <c r="A49" s="74" t="s">
        <v>221</v>
      </c>
      <c r="B49" s="92"/>
      <c r="C49" s="92"/>
      <c r="D49" s="91"/>
      <c r="E49" s="91"/>
      <c r="F49" s="92"/>
      <c r="G49" s="92"/>
      <c r="H49" s="91"/>
      <c r="I49" s="91"/>
      <c r="J49" s="92"/>
      <c r="K49" s="92"/>
      <c r="L49" s="91"/>
      <c r="M49" s="91"/>
      <c r="N49" s="92"/>
      <c r="O49" s="92"/>
      <c r="P49" s="91"/>
      <c r="Q49" s="91"/>
      <c r="R49" s="72"/>
      <c r="S49" s="72"/>
      <c r="T49" s="91"/>
      <c r="U49" s="91"/>
      <c r="V49" s="92"/>
      <c r="W49" s="92"/>
      <c r="X49" s="91"/>
      <c r="Y49" s="91"/>
      <c r="Z49" s="92"/>
      <c r="AA49" s="92"/>
      <c r="AB49" s="91"/>
      <c r="AC49" s="91"/>
      <c r="AD49" s="92"/>
      <c r="AE49" s="92"/>
      <c r="AF49" s="91"/>
      <c r="AG49" s="91"/>
      <c r="AH49" s="92"/>
      <c r="AI49" s="92"/>
      <c r="AJ49" s="96"/>
      <c r="AK49" s="96"/>
      <c r="AL49" s="72">
        <v>200</v>
      </c>
      <c r="AM49" s="72">
        <f>200/A2</f>
        <v>40</v>
      </c>
      <c r="AN49" s="96"/>
      <c r="AO49" s="96"/>
    </row>
    <row r="50" spans="1:41" ht="12.75">
      <c r="A50" s="91"/>
      <c r="B50" s="92"/>
      <c r="C50" s="92"/>
      <c r="D50" s="91"/>
      <c r="E50" s="91"/>
      <c r="F50" s="92"/>
      <c r="G50" s="92"/>
      <c r="H50" s="91"/>
      <c r="I50" s="91"/>
      <c r="J50" s="92"/>
      <c r="K50" s="92"/>
      <c r="L50" s="91"/>
      <c r="M50" s="91"/>
      <c r="N50" s="92"/>
      <c r="O50" s="92"/>
      <c r="P50" s="91"/>
      <c r="Q50" s="91"/>
      <c r="R50" s="92"/>
      <c r="S50" s="92"/>
      <c r="T50" s="91"/>
      <c r="U50" s="91"/>
      <c r="V50" s="92"/>
      <c r="W50" s="92"/>
      <c r="X50" s="91"/>
      <c r="Y50" s="91"/>
      <c r="Z50" s="92"/>
      <c r="AA50" s="92"/>
      <c r="AB50" s="91"/>
      <c r="AC50" s="91"/>
      <c r="AD50" s="92"/>
      <c r="AE50" s="92"/>
      <c r="AF50" s="91"/>
      <c r="AG50" s="91"/>
      <c r="AH50" s="92"/>
      <c r="AI50" s="92"/>
      <c r="AJ50" s="96"/>
      <c r="AK50" s="96"/>
      <c r="AL50" s="92"/>
      <c r="AM50" s="92"/>
      <c r="AN50" s="96"/>
      <c r="AO50" s="96"/>
    </row>
    <row r="51" spans="1:41" ht="12.75">
      <c r="A51" s="91"/>
      <c r="B51" s="92"/>
      <c r="C51" s="92"/>
      <c r="D51" s="91"/>
      <c r="E51" s="91"/>
      <c r="F51" s="92"/>
      <c r="G51" s="92"/>
      <c r="H51" s="91"/>
      <c r="I51" s="91"/>
      <c r="J51" s="92"/>
      <c r="K51" s="92"/>
      <c r="L51" s="91"/>
      <c r="M51" s="91"/>
      <c r="N51" s="92"/>
      <c r="O51" s="92"/>
      <c r="P51" s="91"/>
      <c r="Q51" s="91"/>
      <c r="R51" s="92"/>
      <c r="S51" s="92"/>
      <c r="T51" s="91"/>
      <c r="U51" s="91"/>
      <c r="V51" s="92"/>
      <c r="W51" s="92"/>
      <c r="X51" s="91"/>
      <c r="Y51" s="91"/>
      <c r="Z51" s="92"/>
      <c r="AA51" s="92"/>
      <c r="AB51" s="91"/>
      <c r="AC51" s="91"/>
      <c r="AD51" s="92"/>
      <c r="AE51" s="92"/>
      <c r="AF51" s="91"/>
      <c r="AG51" s="91"/>
      <c r="AH51" s="92"/>
      <c r="AI51" s="92"/>
      <c r="AJ51" s="96"/>
      <c r="AK51" s="96"/>
      <c r="AL51" s="92"/>
      <c r="AM51" s="92"/>
      <c r="AN51" s="96"/>
      <c r="AO51" s="96"/>
    </row>
  </sheetData>
  <sheetProtection sheet="1" objects="1" scenarios="1"/>
  <mergeCells count="25">
    <mergeCell ref="Z16:AA16"/>
    <mergeCell ref="AB16:AC16"/>
    <mergeCell ref="B17:C17"/>
    <mergeCell ref="D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W17"/>
    <mergeCell ref="X17:Y17"/>
    <mergeCell ref="Z17:AA17"/>
    <mergeCell ref="AB17:AC17"/>
    <mergeCell ref="AD17:AE17"/>
    <mergeCell ref="AF17:AG17"/>
    <mergeCell ref="AN16:AO16"/>
    <mergeCell ref="AN17:AO17"/>
    <mergeCell ref="AH17:AI17"/>
    <mergeCell ref="AJ16:AK16"/>
    <mergeCell ref="AL16:AM16"/>
    <mergeCell ref="AJ17:AK17"/>
    <mergeCell ref="AL17:AM17"/>
  </mergeCells>
  <printOptions gridLines="1" horizontalCentered="1"/>
  <pageMargins left="0.25" right="0.25" top="0.25" bottom="0.2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5"/>
  <sheetViews>
    <sheetView zoomScale="55" zoomScaleNormal="55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9.140625" defaultRowHeight="12.75"/>
  <cols>
    <col min="1" max="1" width="48.28125" style="0" customWidth="1"/>
    <col min="2" max="2" width="13.8515625" style="0" customWidth="1"/>
    <col min="3" max="3" width="16.00390625" style="0" customWidth="1"/>
    <col min="4" max="4" width="14.28125" style="0" customWidth="1"/>
    <col min="5" max="5" width="15.00390625" style="0" customWidth="1"/>
    <col min="6" max="6" width="14.28125" style="0" customWidth="1"/>
    <col min="7" max="9" width="14.7109375" style="0" customWidth="1"/>
    <col min="10" max="10" width="16.7109375" style="0" customWidth="1"/>
    <col min="11" max="11" width="16.140625" style="0" customWidth="1"/>
    <col min="12" max="12" width="14.28125" style="0" customWidth="1"/>
    <col min="13" max="13" width="14.7109375" style="0" customWidth="1"/>
    <col min="14" max="14" width="14.28125" style="0" customWidth="1"/>
    <col min="15" max="15" width="15.28125" style="0" customWidth="1"/>
    <col min="16" max="16" width="14.28125" style="0" customWidth="1"/>
    <col min="17" max="21" width="15.421875" style="0" customWidth="1"/>
    <col min="22" max="22" width="14.28125" style="0" customWidth="1"/>
    <col min="23" max="23" width="15.00390625" style="0" customWidth="1"/>
    <col min="24" max="24" width="14.28125" style="0" customWidth="1"/>
    <col min="25" max="25" width="15.421875" style="0" customWidth="1"/>
    <col min="26" max="26" width="14.28125" style="0" customWidth="1"/>
    <col min="27" max="31" width="15.421875" style="0" customWidth="1"/>
    <col min="32" max="32" width="14.28125" style="0" customWidth="1"/>
    <col min="33" max="33" width="14.7109375" style="0" customWidth="1"/>
    <col min="34" max="34" width="14.28125" style="0" customWidth="1"/>
    <col min="35" max="35" width="14.7109375" style="0" customWidth="1"/>
  </cols>
  <sheetData>
    <row r="1" ht="12.75">
      <c r="A1" s="118" t="s">
        <v>19</v>
      </c>
    </row>
    <row r="2" ht="12.75">
      <c r="A2" s="113">
        <v>3</v>
      </c>
    </row>
    <row r="3" spans="1:34" ht="12.75">
      <c r="A3" s="118" t="s">
        <v>20</v>
      </c>
      <c r="C3" s="1"/>
      <c r="E3" s="1"/>
      <c r="G3" s="1"/>
      <c r="H3" s="1"/>
      <c r="I3" s="1"/>
      <c r="M3" s="1"/>
      <c r="O3" s="1"/>
      <c r="Q3" s="1"/>
      <c r="R3" s="1"/>
      <c r="S3" s="1"/>
      <c r="T3" s="1"/>
      <c r="U3" s="1"/>
      <c r="W3" s="1"/>
      <c r="Y3" s="1"/>
      <c r="Z3" s="1"/>
      <c r="AF3" s="1"/>
      <c r="AH3" s="1"/>
    </row>
    <row r="4" spans="1:34" ht="13.5" thickBot="1">
      <c r="A4" s="114">
        <v>100</v>
      </c>
      <c r="C4" s="1"/>
      <c r="E4" s="1"/>
      <c r="G4" s="1"/>
      <c r="H4" s="1"/>
      <c r="I4" s="1"/>
      <c r="M4" s="1"/>
      <c r="O4" s="1"/>
      <c r="Q4" s="1"/>
      <c r="R4" s="1"/>
      <c r="S4" s="1"/>
      <c r="T4" s="1"/>
      <c r="U4" s="1"/>
      <c r="W4" s="1"/>
      <c r="Y4" s="1"/>
      <c r="Z4" s="1"/>
      <c r="AF4" s="1"/>
      <c r="AH4" s="1"/>
    </row>
    <row r="5" spans="1:34" ht="12.75" hidden="1">
      <c r="A5" s="1" t="s">
        <v>190</v>
      </c>
      <c r="B5" s="3">
        <f>A4*1.075</f>
        <v>107.5</v>
      </c>
      <c r="E5" s="1"/>
      <c r="G5" s="1"/>
      <c r="H5" s="1"/>
      <c r="I5" s="1"/>
      <c r="M5" s="1"/>
      <c r="O5" s="1"/>
      <c r="Q5" s="1"/>
      <c r="R5" s="1"/>
      <c r="S5" s="1"/>
      <c r="T5" s="1"/>
      <c r="U5" s="1"/>
      <c r="W5" s="1"/>
      <c r="Y5" s="1"/>
      <c r="Z5" s="1"/>
      <c r="AF5" s="1"/>
      <c r="AH5" s="1"/>
    </row>
    <row r="6" spans="1:34" ht="12.75" hidden="1">
      <c r="A6" s="1" t="s">
        <v>189</v>
      </c>
      <c r="B6" s="3">
        <v>25</v>
      </c>
      <c r="C6" s="1"/>
      <c r="E6" s="1"/>
      <c r="G6" s="1"/>
      <c r="H6" s="1"/>
      <c r="I6" s="1"/>
      <c r="M6" s="1"/>
      <c r="O6" s="1"/>
      <c r="Q6" s="1"/>
      <c r="R6" s="1"/>
      <c r="S6" s="1"/>
      <c r="T6" s="1"/>
      <c r="U6" s="1"/>
      <c r="W6" s="1"/>
      <c r="Y6" s="1"/>
      <c r="Z6" s="1"/>
      <c r="AF6" s="1"/>
      <c r="AH6" s="1"/>
    </row>
    <row r="7" spans="1:34" ht="12.75" hidden="1">
      <c r="A7" s="1" t="s">
        <v>188</v>
      </c>
      <c r="B7" s="3">
        <v>25</v>
      </c>
      <c r="C7" s="1"/>
      <c r="E7" s="1"/>
      <c r="G7" s="1"/>
      <c r="H7" s="1"/>
      <c r="I7" s="1"/>
      <c r="M7" s="1"/>
      <c r="O7" s="1"/>
      <c r="Q7" s="1"/>
      <c r="R7" s="1"/>
      <c r="S7" s="1"/>
      <c r="T7" s="1"/>
      <c r="U7" s="1"/>
      <c r="W7" s="1"/>
      <c r="Y7" s="1"/>
      <c r="Z7" s="1"/>
      <c r="AF7" s="1"/>
      <c r="AH7" s="1"/>
    </row>
    <row r="8" spans="1:34" ht="12.75" hidden="1">
      <c r="A8" s="1" t="s">
        <v>187</v>
      </c>
      <c r="B8" s="3">
        <v>100</v>
      </c>
      <c r="C8" s="1"/>
      <c r="E8" s="1"/>
      <c r="G8" s="1"/>
      <c r="H8" s="1"/>
      <c r="I8" s="1"/>
      <c r="M8" s="1"/>
      <c r="O8" s="1"/>
      <c r="Q8" s="1"/>
      <c r="R8" s="1"/>
      <c r="S8" s="1"/>
      <c r="T8" s="1"/>
      <c r="U8" s="1"/>
      <c r="W8" s="1"/>
      <c r="Y8" s="1"/>
      <c r="Z8" s="1"/>
      <c r="AF8" s="1"/>
      <c r="AH8" s="1"/>
    </row>
    <row r="9" spans="1:34" ht="12.75" hidden="1">
      <c r="A9" s="1" t="s">
        <v>186</v>
      </c>
      <c r="B9" s="3">
        <v>12</v>
      </c>
      <c r="C9" s="1"/>
      <c r="E9" s="1"/>
      <c r="G9" s="1"/>
      <c r="H9" s="1"/>
      <c r="I9" s="1"/>
      <c r="M9" s="1"/>
      <c r="O9" s="1"/>
      <c r="Q9" s="1"/>
      <c r="R9" s="1"/>
      <c r="S9" s="1"/>
      <c r="T9" s="1"/>
      <c r="U9" s="1"/>
      <c r="W9" s="1"/>
      <c r="Y9" s="1"/>
      <c r="Z9" s="1"/>
      <c r="AF9" s="1"/>
      <c r="AH9" s="1"/>
    </row>
    <row r="10" spans="1:34" ht="12.75" hidden="1">
      <c r="A10" s="1" t="s">
        <v>185</v>
      </c>
      <c r="B10" s="3">
        <v>100</v>
      </c>
      <c r="C10" s="1"/>
      <c r="E10" s="1"/>
      <c r="G10" s="1"/>
      <c r="H10" s="1"/>
      <c r="I10" s="1"/>
      <c r="M10" s="1"/>
      <c r="O10" s="1"/>
      <c r="Q10" s="1"/>
      <c r="R10" s="1"/>
      <c r="S10" s="1"/>
      <c r="T10" s="1"/>
      <c r="U10" s="1"/>
      <c r="W10" s="1"/>
      <c r="Y10" s="1"/>
      <c r="Z10" s="1"/>
      <c r="AF10" s="1"/>
      <c r="AH10" s="1"/>
    </row>
    <row r="11" spans="1:34" ht="12.75" hidden="1">
      <c r="A11" s="1" t="s">
        <v>184</v>
      </c>
      <c r="B11" s="3"/>
      <c r="C11" s="1"/>
      <c r="E11" s="1"/>
      <c r="G11" s="1"/>
      <c r="H11" s="1"/>
      <c r="I11" s="1"/>
      <c r="M11" s="1"/>
      <c r="O11" s="1"/>
      <c r="Q11" s="1"/>
      <c r="R11" s="1"/>
      <c r="S11" s="1"/>
      <c r="T11" s="1"/>
      <c r="U11" s="1"/>
      <c r="W11" s="1"/>
      <c r="Y11" s="1"/>
      <c r="Z11" s="1"/>
      <c r="AF11" s="1"/>
      <c r="AH11" s="1"/>
    </row>
    <row r="12" spans="1:34" ht="12.75" hidden="1">
      <c r="A12" s="1" t="s">
        <v>183</v>
      </c>
      <c r="B12" s="3">
        <v>50</v>
      </c>
      <c r="C12" s="1"/>
      <c r="E12" s="1"/>
      <c r="G12" s="1"/>
      <c r="H12" s="1"/>
      <c r="I12" s="1"/>
      <c r="M12" s="1"/>
      <c r="O12" s="1"/>
      <c r="Q12" s="1"/>
      <c r="R12" s="1"/>
      <c r="S12" s="1"/>
      <c r="T12" s="1"/>
      <c r="U12" s="1"/>
      <c r="W12" s="1"/>
      <c r="Y12" s="1"/>
      <c r="Z12" s="1"/>
      <c r="AF12" s="1"/>
      <c r="AH12" s="1"/>
    </row>
    <row r="13" spans="1:34" ht="13.5" hidden="1" thickBot="1">
      <c r="A13" s="1" t="s">
        <v>179</v>
      </c>
      <c r="B13" s="3">
        <v>41</v>
      </c>
      <c r="C13" s="1"/>
      <c r="E13" s="1"/>
      <c r="G13" s="1"/>
      <c r="H13" s="1"/>
      <c r="I13" s="1"/>
      <c r="M13" s="1"/>
      <c r="O13" s="1"/>
      <c r="Q13" s="1"/>
      <c r="R13" s="1"/>
      <c r="S13" s="1"/>
      <c r="T13" s="1"/>
      <c r="U13" s="1"/>
      <c r="W13" s="1"/>
      <c r="Y13" s="1"/>
      <c r="Z13" s="1"/>
      <c r="AF13" s="1"/>
      <c r="AH13" s="1"/>
    </row>
    <row r="14" spans="1:34" ht="14.25" thickBot="1" thickTop="1">
      <c r="A14" s="1"/>
      <c r="C14" s="1"/>
      <c r="E14" s="1"/>
      <c r="G14" s="1"/>
      <c r="H14" s="1"/>
      <c r="I14" s="1"/>
      <c r="M14" s="1"/>
      <c r="O14" s="1"/>
      <c r="Q14" s="1"/>
      <c r="R14" s="1"/>
      <c r="S14" s="1"/>
      <c r="T14" s="1"/>
      <c r="U14" s="1"/>
      <c r="W14" s="1"/>
      <c r="Y14" s="1"/>
      <c r="Z14" s="170" t="s">
        <v>206</v>
      </c>
      <c r="AA14" s="170"/>
      <c r="AB14" s="188" t="s">
        <v>207</v>
      </c>
      <c r="AC14" s="188"/>
      <c r="AF14" s="1"/>
      <c r="AH14" s="1"/>
    </row>
    <row r="15" spans="1:35" ht="42" customHeight="1" thickBot="1" thickTop="1">
      <c r="A15" s="62"/>
      <c r="B15" s="185" t="s">
        <v>7</v>
      </c>
      <c r="C15" s="185"/>
      <c r="D15" s="186" t="s">
        <v>8</v>
      </c>
      <c r="E15" s="186"/>
      <c r="F15" s="187" t="s">
        <v>21</v>
      </c>
      <c r="G15" s="187"/>
      <c r="H15" s="169" t="s">
        <v>202</v>
      </c>
      <c r="I15" s="169"/>
      <c r="J15" s="179" t="s">
        <v>14</v>
      </c>
      <c r="K15" s="180"/>
      <c r="L15" s="181" t="s">
        <v>9</v>
      </c>
      <c r="M15" s="182"/>
      <c r="N15" s="179" t="s">
        <v>15</v>
      </c>
      <c r="O15" s="180"/>
      <c r="P15" s="181" t="s">
        <v>10</v>
      </c>
      <c r="Q15" s="182"/>
      <c r="R15" s="174" t="s">
        <v>196</v>
      </c>
      <c r="S15" s="175"/>
      <c r="T15" s="177" t="s">
        <v>197</v>
      </c>
      <c r="U15" s="178"/>
      <c r="V15" s="179" t="s">
        <v>11</v>
      </c>
      <c r="W15" s="180"/>
      <c r="X15" s="179" t="s">
        <v>12</v>
      </c>
      <c r="Y15" s="180"/>
      <c r="Z15" s="177" t="s">
        <v>208</v>
      </c>
      <c r="AA15" s="178"/>
      <c r="AB15" s="174" t="s">
        <v>208</v>
      </c>
      <c r="AC15" s="175"/>
      <c r="AD15" s="177" t="s">
        <v>291</v>
      </c>
      <c r="AE15" s="178"/>
      <c r="AF15" s="174" t="s">
        <v>210</v>
      </c>
      <c r="AG15" s="175"/>
      <c r="AH15" s="177" t="s">
        <v>13</v>
      </c>
      <c r="AI15" s="178"/>
    </row>
    <row r="16" spans="1:35" ht="25.5" thickBot="1" thickTop="1">
      <c r="A16" s="6"/>
      <c r="B16" s="66" t="s">
        <v>204</v>
      </c>
      <c r="C16" s="66" t="s">
        <v>205</v>
      </c>
      <c r="D16" s="61" t="s">
        <v>204</v>
      </c>
      <c r="E16" s="61" t="s">
        <v>205</v>
      </c>
      <c r="F16" s="66" t="s">
        <v>204</v>
      </c>
      <c r="G16" s="66" t="s">
        <v>205</v>
      </c>
      <c r="H16" s="61" t="s">
        <v>204</v>
      </c>
      <c r="I16" s="61" t="s">
        <v>205</v>
      </c>
      <c r="J16" s="66" t="s">
        <v>204</v>
      </c>
      <c r="K16" s="66" t="s">
        <v>205</v>
      </c>
      <c r="L16" s="61" t="s">
        <v>204</v>
      </c>
      <c r="M16" s="61" t="s">
        <v>205</v>
      </c>
      <c r="N16" s="66" t="s">
        <v>204</v>
      </c>
      <c r="O16" s="66" t="s">
        <v>205</v>
      </c>
      <c r="P16" s="61" t="s">
        <v>204</v>
      </c>
      <c r="Q16" s="61" t="s">
        <v>205</v>
      </c>
      <c r="R16" s="66" t="s">
        <v>204</v>
      </c>
      <c r="S16" s="66" t="s">
        <v>205</v>
      </c>
      <c r="T16" s="61" t="s">
        <v>204</v>
      </c>
      <c r="U16" s="61" t="s">
        <v>205</v>
      </c>
      <c r="V16" s="66" t="s">
        <v>204</v>
      </c>
      <c r="W16" s="66" t="s">
        <v>205</v>
      </c>
      <c r="X16" s="66" t="s">
        <v>204</v>
      </c>
      <c r="Y16" s="66" t="s">
        <v>205</v>
      </c>
      <c r="Z16" s="61" t="s">
        <v>204</v>
      </c>
      <c r="AA16" s="61" t="s">
        <v>205</v>
      </c>
      <c r="AB16" s="66" t="s">
        <v>204</v>
      </c>
      <c r="AC16" s="66" t="s">
        <v>205</v>
      </c>
      <c r="AD16" s="61" t="s">
        <v>204</v>
      </c>
      <c r="AE16" s="61" t="s">
        <v>205</v>
      </c>
      <c r="AF16" s="66" t="s">
        <v>204</v>
      </c>
      <c r="AG16" s="66" t="s">
        <v>205</v>
      </c>
      <c r="AH16" s="61" t="s">
        <v>204</v>
      </c>
      <c r="AI16" s="61" t="s">
        <v>205</v>
      </c>
    </row>
    <row r="17" spans="1:35" ht="12.75">
      <c r="A17" s="1"/>
      <c r="B17" s="103"/>
      <c r="C17" s="97"/>
      <c r="D17" s="70"/>
      <c r="E17" s="70"/>
      <c r="F17" s="97"/>
      <c r="G17" s="97"/>
      <c r="H17" s="70"/>
      <c r="I17" s="70"/>
      <c r="J17" s="97"/>
      <c r="K17" s="97"/>
      <c r="L17" s="70"/>
      <c r="M17" s="70"/>
      <c r="N17" s="97"/>
      <c r="O17" s="97"/>
      <c r="P17" s="70"/>
      <c r="Q17" s="70"/>
      <c r="R17" s="97"/>
      <c r="S17" s="97"/>
      <c r="T17" s="70"/>
      <c r="U17" s="70"/>
      <c r="V17" s="97"/>
      <c r="W17" s="97"/>
      <c r="X17" s="97"/>
      <c r="Y17" s="97"/>
      <c r="Z17" s="70"/>
      <c r="AA17" s="70"/>
      <c r="AB17" s="97"/>
      <c r="AC17" s="97"/>
      <c r="AD17" s="70"/>
      <c r="AE17" s="70"/>
      <c r="AF17" s="97"/>
      <c r="AG17" s="97"/>
      <c r="AH17" s="70"/>
      <c r="AI17" s="104"/>
    </row>
    <row r="18" spans="1:35" ht="12.75">
      <c r="A18" s="7" t="s">
        <v>209</v>
      </c>
      <c r="B18" s="105">
        <f>A4+B5+B7</f>
        <v>232.5</v>
      </c>
      <c r="C18" s="72">
        <f>B18*1.03</f>
        <v>239.475</v>
      </c>
      <c r="D18" s="73">
        <f>A4+B5+B6+B7</f>
        <v>257.5</v>
      </c>
      <c r="E18" s="73">
        <f>D18*1.03</f>
        <v>265.225</v>
      </c>
      <c r="F18" s="72">
        <f>A4+B5+B6+B7</f>
        <v>257.5</v>
      </c>
      <c r="G18" s="72">
        <f>F18*1.03</f>
        <v>265.225</v>
      </c>
      <c r="H18" s="73">
        <f>A4+B5+B6+B7+B10</f>
        <v>357.5</v>
      </c>
      <c r="I18" s="73">
        <f>H18*1.03</f>
        <v>368.225</v>
      </c>
      <c r="J18" s="72">
        <f>A4</f>
        <v>100</v>
      </c>
      <c r="K18" s="72">
        <f>(A4*1.04)/A2</f>
        <v>34.666666666666664</v>
      </c>
      <c r="L18" s="73">
        <f>A4+B5+B6+B7</f>
        <v>257.5</v>
      </c>
      <c r="M18" s="73">
        <f>L18*1.03</f>
        <v>265.225</v>
      </c>
      <c r="N18" s="72">
        <f>A4+B5+B6+B7</f>
        <v>257.5</v>
      </c>
      <c r="O18" s="72">
        <f>N18*1.03</f>
        <v>265.225</v>
      </c>
      <c r="P18" s="73">
        <f>A4+B5+B6+B7</f>
        <v>257.5</v>
      </c>
      <c r="Q18" s="73">
        <f>P18*1.03</f>
        <v>265.225</v>
      </c>
      <c r="R18" s="72">
        <f>A4+B5+B6+B7+B12</f>
        <v>307.5</v>
      </c>
      <c r="S18" s="72">
        <f>R18*1.03</f>
        <v>316.725</v>
      </c>
      <c r="T18" s="73">
        <f>A4+B5+B6+B7</f>
        <v>257.5</v>
      </c>
      <c r="U18" s="73">
        <f>T18*1.03</f>
        <v>265.225</v>
      </c>
      <c r="V18" s="72">
        <f>A4+B5+B6+B7</f>
        <v>257.5</v>
      </c>
      <c r="W18" s="72">
        <f>V18*1.03</f>
        <v>265.225</v>
      </c>
      <c r="X18" s="72">
        <f>A4+B5+B6+B7</f>
        <v>257.5</v>
      </c>
      <c r="Y18" s="72">
        <f>X18/1.03</f>
        <v>250</v>
      </c>
      <c r="Z18" s="73">
        <f>A4+B5+B6+B7+B8+B9</f>
        <v>369.5</v>
      </c>
      <c r="AA18" s="73">
        <f>Z18*1.03</f>
        <v>380.58500000000004</v>
      </c>
      <c r="AB18" s="72">
        <f>A4+B5+B6+B7+B8+B9</f>
        <v>369.5</v>
      </c>
      <c r="AC18" s="72">
        <f>AB18*1.03</f>
        <v>380.58500000000004</v>
      </c>
      <c r="AD18" s="73">
        <f>A4</f>
        <v>100</v>
      </c>
      <c r="AE18" s="73">
        <f>AD18*1.03</f>
        <v>103</v>
      </c>
      <c r="AF18" s="72">
        <f>B13</f>
        <v>41</v>
      </c>
      <c r="AG18" s="72">
        <f>AF18*1.03</f>
        <v>42.230000000000004</v>
      </c>
      <c r="AH18" s="73">
        <f>A4+B5+B6+B7+B13</f>
        <v>298.5</v>
      </c>
      <c r="AI18" s="106">
        <f>AH18*1.03</f>
        <v>307.455</v>
      </c>
    </row>
    <row r="19" spans="1:35" ht="12.75">
      <c r="A19" s="5"/>
      <c r="B19" s="105"/>
      <c r="C19" s="72"/>
      <c r="D19" s="73"/>
      <c r="E19" s="73"/>
      <c r="F19" s="72"/>
      <c r="G19" s="72"/>
      <c r="H19" s="73"/>
      <c r="I19" s="73"/>
      <c r="J19" s="72"/>
      <c r="K19" s="72"/>
      <c r="L19" s="73"/>
      <c r="M19" s="73"/>
      <c r="N19" s="72"/>
      <c r="O19" s="72"/>
      <c r="P19" s="73"/>
      <c r="Q19" s="73"/>
      <c r="R19" s="72"/>
      <c r="S19" s="72"/>
      <c r="T19" s="73"/>
      <c r="U19" s="73"/>
      <c r="V19" s="72"/>
      <c r="W19" s="72"/>
      <c r="X19" s="72"/>
      <c r="Y19" s="72"/>
      <c r="Z19" s="73"/>
      <c r="AA19" s="73"/>
      <c r="AB19" s="72"/>
      <c r="AC19" s="72"/>
      <c r="AD19" s="73"/>
      <c r="AE19" s="73"/>
      <c r="AF19" s="72"/>
      <c r="AG19" s="72"/>
      <c r="AH19" s="73"/>
      <c r="AI19" s="106"/>
    </row>
    <row r="20" spans="1:35" ht="12.75">
      <c r="A20" s="58" t="s">
        <v>181</v>
      </c>
      <c r="B20" s="105">
        <f>SUM(B22:B31)</f>
        <v>132.5</v>
      </c>
      <c r="C20" s="72">
        <f>SUM(C21:C31)</f>
        <v>46.49166666666667</v>
      </c>
      <c r="D20" s="73">
        <f aca="true" t="shared" si="0" ref="D20:I20">SUM(D22:D31)</f>
        <v>157.5</v>
      </c>
      <c r="E20" s="73">
        <f t="shared" si="0"/>
        <v>55.07500000000001</v>
      </c>
      <c r="F20" s="72">
        <f t="shared" si="0"/>
        <v>257.5</v>
      </c>
      <c r="G20" s="72">
        <f t="shared" si="0"/>
        <v>88.40833333333335</v>
      </c>
      <c r="H20" s="73">
        <f t="shared" si="0"/>
        <v>257.5</v>
      </c>
      <c r="I20" s="73">
        <f t="shared" si="0"/>
        <v>89.40833333333335</v>
      </c>
      <c r="J20" s="72"/>
      <c r="K20" s="72"/>
      <c r="L20" s="73">
        <f>SUM(L22:L31)</f>
        <v>157.5</v>
      </c>
      <c r="M20" s="73">
        <f>SUM(M22:M31)</f>
        <v>55.07500000000001</v>
      </c>
      <c r="N20" s="72">
        <f>SUM(N22:N31)</f>
        <v>157.5</v>
      </c>
      <c r="O20" s="72">
        <f aca="true" t="shared" si="1" ref="O20:AG20">SUM(O21:O31)</f>
        <v>55.07500000000001</v>
      </c>
      <c r="P20" s="73">
        <f>SUM(P21:P31)</f>
        <v>157.5</v>
      </c>
      <c r="Q20" s="73">
        <f t="shared" si="1"/>
        <v>55.07500000000001</v>
      </c>
      <c r="R20" s="72">
        <f>SUM(R21:R31)</f>
        <v>207.5</v>
      </c>
      <c r="S20" s="72">
        <f>SUM(S21:S31)</f>
        <v>72.24166666666667</v>
      </c>
      <c r="T20" s="73">
        <f>SUM(T21:T31)</f>
        <v>157.5</v>
      </c>
      <c r="U20" s="73">
        <f>SUM(U21:U31)</f>
        <v>55.07500000000001</v>
      </c>
      <c r="V20" s="72">
        <f t="shared" si="1"/>
        <v>157.5</v>
      </c>
      <c r="W20" s="72">
        <f>SUM(W22:W31)</f>
        <v>55.07500000000001</v>
      </c>
      <c r="X20" s="72">
        <f t="shared" si="1"/>
        <v>157.5</v>
      </c>
      <c r="Y20" s="72">
        <f t="shared" si="1"/>
        <v>50</v>
      </c>
      <c r="Z20" s="73">
        <f t="shared" si="1"/>
        <v>269.5</v>
      </c>
      <c r="AA20" s="73">
        <f t="shared" si="1"/>
        <v>93.52833333333335</v>
      </c>
      <c r="AB20" s="72">
        <f>SUM(AB21:AB31)</f>
        <v>269.5</v>
      </c>
      <c r="AC20" s="72">
        <f>SUM(AC21:AC31)</f>
        <v>93.52833333333335</v>
      </c>
      <c r="AD20" s="73"/>
      <c r="AE20" s="73"/>
      <c r="AF20" s="72">
        <f t="shared" si="1"/>
        <v>41</v>
      </c>
      <c r="AG20" s="72">
        <f t="shared" si="1"/>
        <v>14.076666666666668</v>
      </c>
      <c r="AH20" s="73">
        <f>SUM(AH21:AH31)</f>
        <v>198.5</v>
      </c>
      <c r="AI20" s="106">
        <f>SUM(AI21:AI31)</f>
        <v>69.15166666666667</v>
      </c>
    </row>
    <row r="21" spans="1:35" ht="12.75">
      <c r="A21" s="57" t="s">
        <v>182</v>
      </c>
      <c r="B21" s="105"/>
      <c r="C21" s="72"/>
      <c r="D21" s="73"/>
      <c r="E21" s="73"/>
      <c r="F21" s="72"/>
      <c r="G21" s="72"/>
      <c r="H21" s="73"/>
      <c r="I21" s="73"/>
      <c r="J21" s="72"/>
      <c r="K21" s="72"/>
      <c r="L21" s="73"/>
      <c r="M21" s="73"/>
      <c r="N21" s="72"/>
      <c r="O21" s="72"/>
      <c r="P21" s="73"/>
      <c r="Q21" s="73"/>
      <c r="R21" s="72"/>
      <c r="S21" s="72"/>
      <c r="T21" s="73"/>
      <c r="U21" s="73"/>
      <c r="V21" s="72"/>
      <c r="W21" s="72"/>
      <c r="X21" s="72"/>
      <c r="Y21" s="72"/>
      <c r="Z21" s="73"/>
      <c r="AA21" s="73"/>
      <c r="AB21" s="72"/>
      <c r="AC21" s="72"/>
      <c r="AD21" s="73"/>
      <c r="AE21" s="73"/>
      <c r="AF21" s="72"/>
      <c r="AG21" s="72"/>
      <c r="AH21" s="73"/>
      <c r="AI21" s="106"/>
    </row>
    <row r="22" spans="1:35" ht="12.75">
      <c r="A22" s="59" t="s">
        <v>198</v>
      </c>
      <c r="B22" s="105"/>
      <c r="C22" s="119">
        <f>(C18-B18)/A2</f>
        <v>2.324999999999998</v>
      </c>
      <c r="D22" s="73"/>
      <c r="E22" s="73">
        <f>(E18-D18)/A2</f>
        <v>2.5750000000000077</v>
      </c>
      <c r="F22" s="72"/>
      <c r="G22" s="72">
        <f>(G18-F18)/A2</f>
        <v>2.5750000000000077</v>
      </c>
      <c r="H22" s="73"/>
      <c r="I22" s="73">
        <f>(I18-H18)/A2</f>
        <v>3.5750000000000077</v>
      </c>
      <c r="J22" s="72"/>
      <c r="K22" s="72">
        <f>(A4*0.04)/A2</f>
        <v>1.3333333333333333</v>
      </c>
      <c r="L22" s="73"/>
      <c r="M22" s="73">
        <f>(M18-L18)/A2</f>
        <v>2.5750000000000077</v>
      </c>
      <c r="N22" s="72"/>
      <c r="O22" s="72">
        <f>(O18-N18)/A2</f>
        <v>2.5750000000000077</v>
      </c>
      <c r="P22" s="73"/>
      <c r="Q22" s="73">
        <f>(Q18-P18)/A2</f>
        <v>2.5750000000000077</v>
      </c>
      <c r="R22" s="72"/>
      <c r="S22" s="72">
        <f>(S18-R18)/A2</f>
        <v>3.0750000000000077</v>
      </c>
      <c r="T22" s="73"/>
      <c r="U22" s="73">
        <f>(U18-T18)/A2</f>
        <v>2.5750000000000077</v>
      </c>
      <c r="V22" s="72"/>
      <c r="W22" s="72">
        <f>(W18-V18)/A2</f>
        <v>2.5750000000000077</v>
      </c>
      <c r="X22" s="72"/>
      <c r="Y22" s="72">
        <f>(Y18-X18)/A2</f>
        <v>-2.5</v>
      </c>
      <c r="Z22" s="73"/>
      <c r="AA22" s="73">
        <f>(AA18-Z18)/A2</f>
        <v>3.6950000000000123</v>
      </c>
      <c r="AB22" s="72"/>
      <c r="AC22" s="72">
        <f>(AC18-AB18)/A2</f>
        <v>3.6950000000000123</v>
      </c>
      <c r="AD22" s="73"/>
      <c r="AE22" s="73">
        <f>(AE18-AD18)/A2</f>
        <v>1</v>
      </c>
      <c r="AF22" s="72"/>
      <c r="AG22" s="72">
        <f>(AG18-AF18)/A2</f>
        <v>0.4100000000000013</v>
      </c>
      <c r="AH22" s="73"/>
      <c r="AI22" s="106">
        <f>(AI18-AH18)/A2</f>
        <v>2.9849999999999945</v>
      </c>
    </row>
    <row r="23" spans="1:35" ht="12.75">
      <c r="A23" s="4" t="s">
        <v>191</v>
      </c>
      <c r="B23" s="105"/>
      <c r="C23" s="72"/>
      <c r="D23" s="119">
        <f>B6</f>
        <v>25</v>
      </c>
      <c r="E23" s="73">
        <f>B6/A2</f>
        <v>8.333333333333334</v>
      </c>
      <c r="F23" s="72">
        <f>B6</f>
        <v>25</v>
      </c>
      <c r="G23" s="72">
        <f>B6/A2</f>
        <v>8.333333333333334</v>
      </c>
      <c r="H23" s="73">
        <f>B6</f>
        <v>25</v>
      </c>
      <c r="I23" s="73">
        <f>B6/A2</f>
        <v>8.333333333333334</v>
      </c>
      <c r="J23" s="72"/>
      <c r="K23" s="72"/>
      <c r="L23" s="73">
        <f>B6</f>
        <v>25</v>
      </c>
      <c r="M23" s="73">
        <f>B6/A2</f>
        <v>8.333333333333334</v>
      </c>
      <c r="N23" s="72">
        <f>B6</f>
        <v>25</v>
      </c>
      <c r="O23" s="72">
        <f>B6/A2</f>
        <v>8.333333333333334</v>
      </c>
      <c r="P23" s="73">
        <f>B6</f>
        <v>25</v>
      </c>
      <c r="Q23" s="73">
        <f>B6/A2</f>
        <v>8.333333333333334</v>
      </c>
      <c r="R23" s="72">
        <f>B6</f>
        <v>25</v>
      </c>
      <c r="S23" s="72">
        <f>B6/A2</f>
        <v>8.333333333333334</v>
      </c>
      <c r="T23" s="73">
        <f>B6</f>
        <v>25</v>
      </c>
      <c r="U23" s="73">
        <f>B6/A2</f>
        <v>8.333333333333334</v>
      </c>
      <c r="V23" s="72">
        <f>B6</f>
        <v>25</v>
      </c>
      <c r="W23" s="72">
        <f>B6/A2</f>
        <v>8.333333333333334</v>
      </c>
      <c r="X23" s="72">
        <f>B6</f>
        <v>25</v>
      </c>
      <c r="Y23" s="72">
        <f>B6/A2</f>
        <v>8.333333333333334</v>
      </c>
      <c r="Z23" s="73">
        <f>B6</f>
        <v>25</v>
      </c>
      <c r="AA23" s="73">
        <f>B6/A2</f>
        <v>8.333333333333334</v>
      </c>
      <c r="AB23" s="72">
        <f>B6</f>
        <v>25</v>
      </c>
      <c r="AC23" s="72">
        <f>B6/A2</f>
        <v>8.333333333333334</v>
      </c>
      <c r="AD23" s="73"/>
      <c r="AE23" s="73"/>
      <c r="AF23" s="72"/>
      <c r="AG23" s="72"/>
      <c r="AH23" s="73">
        <f>B6</f>
        <v>25</v>
      </c>
      <c r="AI23" s="106">
        <f>B6/A2</f>
        <v>8.333333333333334</v>
      </c>
    </row>
    <row r="24" spans="1:35" ht="12.75">
      <c r="A24" s="4" t="s">
        <v>192</v>
      </c>
      <c r="B24" s="105">
        <f>B7</f>
        <v>25</v>
      </c>
      <c r="C24" s="72">
        <f>B7/A2</f>
        <v>8.333333333333334</v>
      </c>
      <c r="D24" s="73">
        <f>B7</f>
        <v>25</v>
      </c>
      <c r="E24" s="73">
        <f>B7/A2</f>
        <v>8.333333333333334</v>
      </c>
      <c r="F24" s="72">
        <f>B7</f>
        <v>25</v>
      </c>
      <c r="G24" s="72">
        <f>B7/A2</f>
        <v>8.333333333333334</v>
      </c>
      <c r="H24" s="73">
        <f>B7</f>
        <v>25</v>
      </c>
      <c r="I24" s="73">
        <f>B7/A2</f>
        <v>8.333333333333334</v>
      </c>
      <c r="J24" s="72"/>
      <c r="K24" s="72"/>
      <c r="L24" s="73">
        <f>B7</f>
        <v>25</v>
      </c>
      <c r="M24" s="73">
        <f>B7/A2</f>
        <v>8.333333333333334</v>
      </c>
      <c r="N24" s="72">
        <f>B7</f>
        <v>25</v>
      </c>
      <c r="O24" s="72">
        <f>B7/A2</f>
        <v>8.333333333333334</v>
      </c>
      <c r="P24" s="73">
        <f>B7</f>
        <v>25</v>
      </c>
      <c r="Q24" s="73">
        <f>B7/A2</f>
        <v>8.333333333333334</v>
      </c>
      <c r="R24" s="72">
        <f>B7</f>
        <v>25</v>
      </c>
      <c r="S24" s="72">
        <f>B7/A2</f>
        <v>8.333333333333334</v>
      </c>
      <c r="T24" s="73">
        <f>B7</f>
        <v>25</v>
      </c>
      <c r="U24" s="73">
        <f>B7/A2</f>
        <v>8.333333333333334</v>
      </c>
      <c r="V24" s="72">
        <f>B7</f>
        <v>25</v>
      </c>
      <c r="W24" s="72">
        <f>B7/A2</f>
        <v>8.333333333333334</v>
      </c>
      <c r="X24" s="72">
        <f>B7</f>
        <v>25</v>
      </c>
      <c r="Y24" s="72">
        <f>B7/A2</f>
        <v>8.333333333333334</v>
      </c>
      <c r="Z24" s="73">
        <f>B7</f>
        <v>25</v>
      </c>
      <c r="AA24" s="73">
        <f>B7/A2</f>
        <v>8.333333333333334</v>
      </c>
      <c r="AB24" s="72">
        <f>B7</f>
        <v>25</v>
      </c>
      <c r="AC24" s="72">
        <f>B7/A2</f>
        <v>8.333333333333334</v>
      </c>
      <c r="AD24" s="73"/>
      <c r="AE24" s="73"/>
      <c r="AF24" s="72"/>
      <c r="AG24" s="72"/>
      <c r="AH24" s="73">
        <f>B7</f>
        <v>25</v>
      </c>
      <c r="AI24" s="106">
        <f>B7/A2</f>
        <v>8.333333333333334</v>
      </c>
    </row>
    <row r="25" spans="1:35" ht="12.75">
      <c r="A25" s="4" t="s">
        <v>193</v>
      </c>
      <c r="B25" s="105"/>
      <c r="C25" s="72"/>
      <c r="D25" s="73"/>
      <c r="E25" s="73"/>
      <c r="F25" s="72"/>
      <c r="G25" s="72"/>
      <c r="H25" s="73"/>
      <c r="I25" s="73"/>
      <c r="J25" s="72"/>
      <c r="K25" s="72"/>
      <c r="L25" s="73"/>
      <c r="M25" s="73"/>
      <c r="N25" s="72"/>
      <c r="O25" s="72"/>
      <c r="P25" s="73"/>
      <c r="Q25" s="73"/>
      <c r="R25" s="72"/>
      <c r="S25" s="72"/>
      <c r="T25" s="73"/>
      <c r="U25" s="73"/>
      <c r="V25" s="72"/>
      <c r="W25" s="72"/>
      <c r="X25" s="72"/>
      <c r="Y25" s="72"/>
      <c r="Z25" s="73">
        <f>B8</f>
        <v>100</v>
      </c>
      <c r="AA25" s="73">
        <f>B8/A2</f>
        <v>33.333333333333336</v>
      </c>
      <c r="AB25" s="72">
        <f>B8</f>
        <v>100</v>
      </c>
      <c r="AC25" s="72">
        <f>B8/A2</f>
        <v>33.333333333333336</v>
      </c>
      <c r="AD25" s="73"/>
      <c r="AE25" s="73"/>
      <c r="AF25" s="72"/>
      <c r="AG25" s="72"/>
      <c r="AH25" s="73"/>
      <c r="AI25" s="106"/>
    </row>
    <row r="26" spans="1:35" ht="12.75">
      <c r="A26" s="4" t="s">
        <v>194</v>
      </c>
      <c r="B26" s="105"/>
      <c r="C26" s="72"/>
      <c r="D26" s="73"/>
      <c r="E26" s="73"/>
      <c r="F26" s="72"/>
      <c r="G26" s="72"/>
      <c r="H26" s="73"/>
      <c r="I26" s="73"/>
      <c r="J26" s="72"/>
      <c r="K26" s="72"/>
      <c r="L26" s="73"/>
      <c r="M26" s="73"/>
      <c r="N26" s="72"/>
      <c r="O26" s="72"/>
      <c r="P26" s="73"/>
      <c r="Q26" s="73"/>
      <c r="R26" s="72"/>
      <c r="S26" s="72"/>
      <c r="T26" s="73"/>
      <c r="U26" s="73"/>
      <c r="V26" s="72"/>
      <c r="W26" s="72"/>
      <c r="X26" s="72"/>
      <c r="Y26" s="72"/>
      <c r="Z26" s="73">
        <f>B9</f>
        <v>12</v>
      </c>
      <c r="AA26" s="73">
        <f>B9/A2</f>
        <v>4</v>
      </c>
      <c r="AB26" s="72">
        <f>B9</f>
        <v>12</v>
      </c>
      <c r="AC26" s="72">
        <f>B9/A2</f>
        <v>4</v>
      </c>
      <c r="AD26" s="73"/>
      <c r="AE26" s="73"/>
      <c r="AF26" s="72"/>
      <c r="AG26" s="72"/>
      <c r="AH26" s="73"/>
      <c r="AI26" s="106"/>
    </row>
    <row r="27" spans="1:35" ht="12.75">
      <c r="A27" s="4" t="s">
        <v>203</v>
      </c>
      <c r="B27" s="105"/>
      <c r="C27" s="72"/>
      <c r="D27" s="73"/>
      <c r="E27" s="73"/>
      <c r="F27" s="72">
        <f>B10</f>
        <v>100</v>
      </c>
      <c r="G27" s="72">
        <f>B10/A2</f>
        <v>33.333333333333336</v>
      </c>
      <c r="H27" s="119">
        <f>B10</f>
        <v>100</v>
      </c>
      <c r="I27" s="73">
        <f>B10/A2</f>
        <v>33.333333333333336</v>
      </c>
      <c r="J27" s="72"/>
      <c r="K27" s="72"/>
      <c r="L27" s="73"/>
      <c r="M27" s="73"/>
      <c r="N27" s="72"/>
      <c r="O27" s="72"/>
      <c r="P27" s="73"/>
      <c r="Q27" s="73"/>
      <c r="R27" s="72"/>
      <c r="S27" s="72"/>
      <c r="T27" s="73"/>
      <c r="U27" s="73"/>
      <c r="V27" s="72"/>
      <c r="W27" s="72"/>
      <c r="X27" s="72"/>
      <c r="Y27" s="72"/>
      <c r="Z27" s="73"/>
      <c r="AA27" s="73"/>
      <c r="AB27" s="72"/>
      <c r="AC27" s="72"/>
      <c r="AD27" s="73"/>
      <c r="AE27" s="73"/>
      <c r="AF27" s="72"/>
      <c r="AG27" s="72"/>
      <c r="AH27" s="73"/>
      <c r="AI27" s="106"/>
    </row>
    <row r="28" spans="1:35" ht="12.75">
      <c r="A28" s="4" t="s">
        <v>211</v>
      </c>
      <c r="B28" s="105"/>
      <c r="C28" s="72"/>
      <c r="D28" s="73"/>
      <c r="E28" s="73"/>
      <c r="F28" s="72"/>
      <c r="G28" s="72"/>
      <c r="H28" s="73"/>
      <c r="I28" s="73"/>
      <c r="J28" s="72"/>
      <c r="K28" s="72"/>
      <c r="L28" s="73"/>
      <c r="M28" s="73"/>
      <c r="N28" s="72"/>
      <c r="O28" s="72"/>
      <c r="P28" s="73"/>
      <c r="Q28" s="73"/>
      <c r="R28" s="119">
        <f>B12</f>
        <v>50</v>
      </c>
      <c r="S28" s="107">
        <f>R28/A2</f>
        <v>16.666666666666668</v>
      </c>
      <c r="T28" s="73"/>
      <c r="U28" s="73"/>
      <c r="V28" s="72"/>
      <c r="W28" s="72"/>
      <c r="X28" s="72"/>
      <c r="Y28" s="72"/>
      <c r="Z28" s="73"/>
      <c r="AA28" s="73"/>
      <c r="AB28" s="72"/>
      <c r="AC28" s="72"/>
      <c r="AD28" s="73"/>
      <c r="AE28" s="73"/>
      <c r="AF28" s="72"/>
      <c r="AG28" s="72"/>
      <c r="AH28" s="73"/>
      <c r="AI28" s="106"/>
    </row>
    <row r="29" spans="1:35" ht="12.75">
      <c r="A29" s="60" t="s">
        <v>199</v>
      </c>
      <c r="B29" s="105"/>
      <c r="C29" s="72"/>
      <c r="D29" s="73"/>
      <c r="E29" s="73"/>
      <c r="F29" s="72"/>
      <c r="G29" s="72"/>
      <c r="H29" s="73"/>
      <c r="I29" s="73"/>
      <c r="J29" s="72"/>
      <c r="K29" s="72"/>
      <c r="L29" s="73"/>
      <c r="M29" s="73"/>
      <c r="N29" s="72"/>
      <c r="O29" s="72"/>
      <c r="P29" s="73"/>
      <c r="Q29" s="73"/>
      <c r="R29" s="72"/>
      <c r="S29" s="72"/>
      <c r="T29" s="73"/>
      <c r="U29" s="73"/>
      <c r="V29" s="72"/>
      <c r="W29" s="72"/>
      <c r="X29" s="72"/>
      <c r="Y29" s="72"/>
      <c r="Z29" s="73"/>
      <c r="AA29" s="73"/>
      <c r="AB29" s="72"/>
      <c r="AC29" s="72"/>
      <c r="AD29" s="73"/>
      <c r="AE29" s="73"/>
      <c r="AF29" s="119">
        <f>B13</f>
        <v>41</v>
      </c>
      <c r="AG29" s="72">
        <f>B13/A2</f>
        <v>13.666666666666666</v>
      </c>
      <c r="AH29" s="119">
        <f>B13</f>
        <v>41</v>
      </c>
      <c r="AI29" s="106">
        <f>AH29/A2</f>
        <v>13.666666666666666</v>
      </c>
    </row>
    <row r="30" spans="1:35" ht="12.75">
      <c r="A30" s="4"/>
      <c r="B30" s="105"/>
      <c r="C30" s="72"/>
      <c r="D30" s="73"/>
      <c r="E30" s="73"/>
      <c r="F30" s="72"/>
      <c r="G30" s="72"/>
      <c r="H30" s="73"/>
      <c r="I30" s="73"/>
      <c r="J30" s="72"/>
      <c r="K30" s="72"/>
      <c r="L30" s="73"/>
      <c r="M30" s="73"/>
      <c r="N30" s="72"/>
      <c r="O30" s="72"/>
      <c r="P30" s="73"/>
      <c r="Q30" s="73"/>
      <c r="R30" s="72"/>
      <c r="S30" s="72"/>
      <c r="T30" s="73"/>
      <c r="U30" s="73"/>
      <c r="V30" s="72"/>
      <c r="W30" s="72"/>
      <c r="X30" s="72"/>
      <c r="Y30" s="72"/>
      <c r="Z30" s="73"/>
      <c r="AA30" s="73"/>
      <c r="AB30" s="72"/>
      <c r="AC30" s="72"/>
      <c r="AD30" s="73"/>
      <c r="AE30" s="73"/>
      <c r="AF30" s="72"/>
      <c r="AG30" s="72"/>
      <c r="AH30" s="73"/>
      <c r="AI30" s="106"/>
    </row>
    <row r="31" spans="1:35" ht="12.75">
      <c r="A31" s="9" t="s">
        <v>195</v>
      </c>
      <c r="B31" s="105">
        <f>A4*1.075</f>
        <v>107.5</v>
      </c>
      <c r="C31" s="72">
        <f>(A4*1.075)/A2</f>
        <v>35.833333333333336</v>
      </c>
      <c r="D31" s="81">
        <f>A4*1.075</f>
        <v>107.5</v>
      </c>
      <c r="E31" s="73">
        <f>(A4*1.075)/A2</f>
        <v>35.833333333333336</v>
      </c>
      <c r="F31" s="82">
        <f>A4*1.075</f>
        <v>107.5</v>
      </c>
      <c r="G31" s="72">
        <f>(A4*1.075)/A2</f>
        <v>35.833333333333336</v>
      </c>
      <c r="H31" s="81">
        <f>A4*1.075</f>
        <v>107.5</v>
      </c>
      <c r="I31" s="73">
        <f>(A4*1.075)/A2</f>
        <v>35.833333333333336</v>
      </c>
      <c r="J31" s="72"/>
      <c r="K31" s="72"/>
      <c r="L31" s="81">
        <f>A4*1.075</f>
        <v>107.5</v>
      </c>
      <c r="M31" s="73">
        <f>(A4*1.075)/A2</f>
        <v>35.833333333333336</v>
      </c>
      <c r="N31" s="72">
        <f>A4*1.075</f>
        <v>107.5</v>
      </c>
      <c r="O31" s="72">
        <f>(A4*1.075)/A2</f>
        <v>35.833333333333336</v>
      </c>
      <c r="P31" s="81">
        <f>A4*1.075</f>
        <v>107.5</v>
      </c>
      <c r="Q31" s="73">
        <f>(A4*1.075)/A2</f>
        <v>35.833333333333336</v>
      </c>
      <c r="R31" s="82">
        <f>A4*1.075</f>
        <v>107.5</v>
      </c>
      <c r="S31" s="72">
        <f>(A4*1.075)/A2</f>
        <v>35.833333333333336</v>
      </c>
      <c r="T31" s="83">
        <f>A4*1.075</f>
        <v>107.5</v>
      </c>
      <c r="U31" s="73">
        <f>(A4*1.075)/A2</f>
        <v>35.833333333333336</v>
      </c>
      <c r="V31" s="82">
        <f>A4*1.075</f>
        <v>107.5</v>
      </c>
      <c r="W31" s="72">
        <f>(A4*1.075)/A2</f>
        <v>35.833333333333336</v>
      </c>
      <c r="X31" s="82">
        <f>A4*1.075</f>
        <v>107.5</v>
      </c>
      <c r="Y31" s="72">
        <f>(A4*1.075)/A2</f>
        <v>35.833333333333336</v>
      </c>
      <c r="Z31" s="73">
        <f>A4*1.075</f>
        <v>107.5</v>
      </c>
      <c r="AA31" s="73">
        <f>(A4*1.075)/A2</f>
        <v>35.833333333333336</v>
      </c>
      <c r="AB31" s="72">
        <f>A4*1.075</f>
        <v>107.5</v>
      </c>
      <c r="AC31" s="72">
        <f>(A4*1.075)/A2</f>
        <v>35.833333333333336</v>
      </c>
      <c r="AD31" s="73"/>
      <c r="AE31" s="73"/>
      <c r="AF31" s="72"/>
      <c r="AG31" s="72"/>
      <c r="AH31" s="73">
        <f>A4*1.075</f>
        <v>107.5</v>
      </c>
      <c r="AI31" s="106">
        <f>(A4*1.075)/A2</f>
        <v>35.833333333333336</v>
      </c>
    </row>
    <row r="32" spans="1:35" ht="12.75">
      <c r="A32" s="60" t="s">
        <v>200</v>
      </c>
      <c r="B32" s="105">
        <f aca="true" t="shared" si="2" ref="B32:G32">B31*0.1116</f>
        <v>11.997</v>
      </c>
      <c r="C32" s="84">
        <f>C31*0.1116</f>
        <v>3.9990000000000006</v>
      </c>
      <c r="D32" s="73">
        <f t="shared" si="2"/>
        <v>11.997</v>
      </c>
      <c r="E32" s="85">
        <f t="shared" si="2"/>
        <v>3.9990000000000006</v>
      </c>
      <c r="F32" s="72">
        <f t="shared" si="2"/>
        <v>11.997</v>
      </c>
      <c r="G32" s="84">
        <f t="shared" si="2"/>
        <v>3.9990000000000006</v>
      </c>
      <c r="H32" s="73">
        <f>H31*0.1116</f>
        <v>11.997</v>
      </c>
      <c r="I32" s="85">
        <f>I31*0.1116</f>
        <v>3.9990000000000006</v>
      </c>
      <c r="J32" s="72"/>
      <c r="K32" s="72"/>
      <c r="L32" s="73">
        <f aca="true" t="shared" si="3" ref="L32:AC32">L31*0.1116</f>
        <v>11.997</v>
      </c>
      <c r="M32" s="85">
        <f t="shared" si="3"/>
        <v>3.9990000000000006</v>
      </c>
      <c r="N32" s="72">
        <f t="shared" si="3"/>
        <v>11.997</v>
      </c>
      <c r="O32" s="84">
        <f t="shared" si="3"/>
        <v>3.9990000000000006</v>
      </c>
      <c r="P32" s="73">
        <f t="shared" si="3"/>
        <v>11.997</v>
      </c>
      <c r="Q32" s="85">
        <f t="shared" si="3"/>
        <v>3.9990000000000006</v>
      </c>
      <c r="R32" s="72">
        <f t="shared" si="3"/>
        <v>11.997</v>
      </c>
      <c r="S32" s="84">
        <f t="shared" si="3"/>
        <v>3.9990000000000006</v>
      </c>
      <c r="T32" s="73">
        <f t="shared" si="3"/>
        <v>11.997</v>
      </c>
      <c r="U32" s="85">
        <f t="shared" si="3"/>
        <v>3.9990000000000006</v>
      </c>
      <c r="V32" s="72">
        <f t="shared" si="3"/>
        <v>11.997</v>
      </c>
      <c r="W32" s="84">
        <f t="shared" si="3"/>
        <v>3.9990000000000006</v>
      </c>
      <c r="X32" s="72">
        <f t="shared" si="3"/>
        <v>11.997</v>
      </c>
      <c r="Y32" s="84">
        <f t="shared" si="3"/>
        <v>3.9990000000000006</v>
      </c>
      <c r="Z32" s="73">
        <f t="shared" si="3"/>
        <v>11.997</v>
      </c>
      <c r="AA32" s="85">
        <f t="shared" si="3"/>
        <v>3.9990000000000006</v>
      </c>
      <c r="AB32" s="72">
        <f t="shared" si="3"/>
        <v>11.997</v>
      </c>
      <c r="AC32" s="84">
        <f t="shared" si="3"/>
        <v>3.9990000000000006</v>
      </c>
      <c r="AD32" s="87"/>
      <c r="AE32" s="87"/>
      <c r="AF32" s="72"/>
      <c r="AG32" s="86"/>
      <c r="AH32" s="73">
        <f>AH31*0.1116</f>
        <v>11.997</v>
      </c>
      <c r="AI32" s="108">
        <f>AI31*0.1116</f>
        <v>3.9990000000000006</v>
      </c>
    </row>
    <row r="33" spans="1:35" ht="12.75">
      <c r="A33" s="4" t="s">
        <v>243</v>
      </c>
      <c r="B33" s="105">
        <f aca="true" t="shared" si="4" ref="B33:G33">B31*0.8884</f>
        <v>95.503</v>
      </c>
      <c r="C33" s="84">
        <f t="shared" si="4"/>
        <v>31.834333333333333</v>
      </c>
      <c r="D33" s="73">
        <f t="shared" si="4"/>
        <v>95.503</v>
      </c>
      <c r="E33" s="85">
        <f t="shared" si="4"/>
        <v>31.834333333333333</v>
      </c>
      <c r="F33" s="72">
        <f t="shared" si="4"/>
        <v>95.503</v>
      </c>
      <c r="G33" s="84">
        <f t="shared" si="4"/>
        <v>31.834333333333333</v>
      </c>
      <c r="H33" s="73">
        <f>H31*0.8884</f>
        <v>95.503</v>
      </c>
      <c r="I33" s="85">
        <f>I31*0.8884</f>
        <v>31.834333333333333</v>
      </c>
      <c r="J33" s="72"/>
      <c r="K33" s="72"/>
      <c r="L33" s="73">
        <f aca="true" t="shared" si="5" ref="L33:AA33">L31*0.8884</f>
        <v>95.503</v>
      </c>
      <c r="M33" s="85">
        <f t="shared" si="5"/>
        <v>31.834333333333333</v>
      </c>
      <c r="N33" s="72">
        <f t="shared" si="5"/>
        <v>95.503</v>
      </c>
      <c r="O33" s="84">
        <f t="shared" si="5"/>
        <v>31.834333333333333</v>
      </c>
      <c r="P33" s="73">
        <f t="shared" si="5"/>
        <v>95.503</v>
      </c>
      <c r="Q33" s="85">
        <f t="shared" si="5"/>
        <v>31.834333333333333</v>
      </c>
      <c r="R33" s="72">
        <f>R31*0.8884</f>
        <v>95.503</v>
      </c>
      <c r="S33" s="84">
        <f>S31*0.8884</f>
        <v>31.834333333333333</v>
      </c>
      <c r="T33" s="73">
        <f>T31*0.8884</f>
        <v>95.503</v>
      </c>
      <c r="U33" s="85">
        <f>U31*0.8884</f>
        <v>31.834333333333333</v>
      </c>
      <c r="V33" s="72">
        <f t="shared" si="5"/>
        <v>95.503</v>
      </c>
      <c r="W33" s="84">
        <f t="shared" si="5"/>
        <v>31.834333333333333</v>
      </c>
      <c r="X33" s="72">
        <f t="shared" si="5"/>
        <v>95.503</v>
      </c>
      <c r="Y33" s="84">
        <f t="shared" si="5"/>
        <v>31.834333333333333</v>
      </c>
      <c r="Z33" s="73">
        <f t="shared" si="5"/>
        <v>95.503</v>
      </c>
      <c r="AA33" s="85">
        <f t="shared" si="5"/>
        <v>31.834333333333333</v>
      </c>
      <c r="AB33" s="72">
        <f>AB31*0.8884</f>
        <v>95.503</v>
      </c>
      <c r="AC33" s="84">
        <f>AC31*0.8884</f>
        <v>31.834333333333333</v>
      </c>
      <c r="AD33" s="87"/>
      <c r="AE33" s="87"/>
      <c r="AF33" s="72"/>
      <c r="AG33" s="86"/>
      <c r="AH33" s="73">
        <f>AH31*0.8884</f>
        <v>95.503</v>
      </c>
      <c r="AI33" s="108">
        <f>AI31*0.8884</f>
        <v>31.834333333333333</v>
      </c>
    </row>
    <row r="34" spans="1:35" ht="12.75">
      <c r="A34" s="4"/>
      <c r="B34" s="105"/>
      <c r="C34" s="72"/>
      <c r="D34" s="73"/>
      <c r="E34" s="73"/>
      <c r="F34" s="72"/>
      <c r="G34" s="72"/>
      <c r="H34" s="73"/>
      <c r="I34" s="73"/>
      <c r="J34" s="72"/>
      <c r="K34" s="72"/>
      <c r="L34" s="73"/>
      <c r="M34" s="73"/>
      <c r="N34" s="72"/>
      <c r="O34" s="72"/>
      <c r="P34" s="73"/>
      <c r="Q34" s="73"/>
      <c r="R34" s="72"/>
      <c r="S34" s="72"/>
      <c r="T34" s="73"/>
      <c r="U34" s="73"/>
      <c r="V34" s="72"/>
      <c r="W34" s="72"/>
      <c r="X34" s="72"/>
      <c r="Y34" s="72"/>
      <c r="Z34" s="73"/>
      <c r="AA34" s="73"/>
      <c r="AB34" s="72"/>
      <c r="AC34" s="72"/>
      <c r="AD34" s="73"/>
      <c r="AE34" s="73"/>
      <c r="AF34" s="72"/>
      <c r="AG34" s="72"/>
      <c r="AH34" s="73"/>
      <c r="AI34" s="106"/>
    </row>
    <row r="35" spans="1:35" ht="12.75">
      <c r="A35" s="57" t="s">
        <v>180</v>
      </c>
      <c r="B35" s="105">
        <f>A4</f>
        <v>100</v>
      </c>
      <c r="C35" s="72">
        <f>A4/A2</f>
        <v>33.333333333333336</v>
      </c>
      <c r="D35" s="73">
        <f>A4</f>
        <v>100</v>
      </c>
      <c r="E35" s="73">
        <f>A4/A2</f>
        <v>33.333333333333336</v>
      </c>
      <c r="F35" s="72">
        <f>A4</f>
        <v>100</v>
      </c>
      <c r="G35" s="72">
        <f>A4/A2</f>
        <v>33.333333333333336</v>
      </c>
      <c r="H35" s="73">
        <f>A4</f>
        <v>100</v>
      </c>
      <c r="I35" s="73">
        <f>A4/A2</f>
        <v>33.333333333333336</v>
      </c>
      <c r="J35" s="72"/>
      <c r="K35" s="72"/>
      <c r="L35" s="73">
        <f>A4</f>
        <v>100</v>
      </c>
      <c r="M35" s="73">
        <f>A4/A2</f>
        <v>33.333333333333336</v>
      </c>
      <c r="N35" s="72">
        <f>A4</f>
        <v>100</v>
      </c>
      <c r="O35" s="72">
        <f>A4/A2</f>
        <v>33.333333333333336</v>
      </c>
      <c r="P35" s="73">
        <f>A4</f>
        <v>100</v>
      </c>
      <c r="Q35" s="73">
        <f>A4/A2</f>
        <v>33.333333333333336</v>
      </c>
      <c r="R35" s="72">
        <f>A4</f>
        <v>100</v>
      </c>
      <c r="S35" s="88">
        <f>A4/A2</f>
        <v>33.333333333333336</v>
      </c>
      <c r="T35" s="73">
        <f>A4</f>
        <v>100</v>
      </c>
      <c r="U35" s="89">
        <f>A4/A2</f>
        <v>33.333333333333336</v>
      </c>
      <c r="V35" s="72">
        <f>A4</f>
        <v>100</v>
      </c>
      <c r="W35" s="72">
        <f>A4/A2</f>
        <v>33.333333333333336</v>
      </c>
      <c r="X35" s="72">
        <f>A4</f>
        <v>100</v>
      </c>
      <c r="Y35" s="72">
        <f>A4/A2</f>
        <v>33.333333333333336</v>
      </c>
      <c r="Z35" s="73">
        <f>A4</f>
        <v>100</v>
      </c>
      <c r="AA35" s="73">
        <f>A4/A2</f>
        <v>33.333333333333336</v>
      </c>
      <c r="AB35" s="72">
        <f>A4</f>
        <v>100</v>
      </c>
      <c r="AC35" s="72">
        <f>A4/A2</f>
        <v>33.333333333333336</v>
      </c>
      <c r="AD35" s="73"/>
      <c r="AE35" s="73"/>
      <c r="AF35" s="72"/>
      <c r="AG35" s="72"/>
      <c r="AH35" s="73">
        <f>A4</f>
        <v>100</v>
      </c>
      <c r="AI35" s="106">
        <f>A4/A2</f>
        <v>33.333333333333336</v>
      </c>
    </row>
    <row r="36" spans="1:35" ht="12.75">
      <c r="A36" s="7" t="s">
        <v>4</v>
      </c>
      <c r="B36" s="105"/>
      <c r="C36" s="72"/>
      <c r="D36" s="73"/>
      <c r="E36" s="73"/>
      <c r="F36" s="72"/>
      <c r="G36" s="72"/>
      <c r="H36" s="73"/>
      <c r="I36" s="73"/>
      <c r="J36" s="72"/>
      <c r="K36" s="72"/>
      <c r="L36" s="73"/>
      <c r="M36" s="73"/>
      <c r="N36" s="72"/>
      <c r="O36" s="72"/>
      <c r="P36" s="73"/>
      <c r="Q36" s="73"/>
      <c r="R36" s="72"/>
      <c r="S36" s="72"/>
      <c r="T36" s="73"/>
      <c r="U36" s="73"/>
      <c r="V36" s="72"/>
      <c r="W36" s="72"/>
      <c r="X36" s="72"/>
      <c r="Y36" s="72"/>
      <c r="Z36" s="73"/>
      <c r="AA36" s="73"/>
      <c r="AB36" s="72"/>
      <c r="AC36" s="72"/>
      <c r="AD36" s="73"/>
      <c r="AE36" s="73"/>
      <c r="AF36" s="72"/>
      <c r="AG36" s="72"/>
      <c r="AH36" s="73"/>
      <c r="AI36" s="106"/>
    </row>
    <row r="37" spans="1:35" ht="12.75">
      <c r="A37" s="4" t="s">
        <v>0</v>
      </c>
      <c r="B37" s="105"/>
      <c r="C37" s="72"/>
      <c r="D37" s="73"/>
      <c r="E37" s="73"/>
      <c r="F37" s="72"/>
      <c r="G37" s="72"/>
      <c r="H37" s="73"/>
      <c r="I37" s="73"/>
      <c r="J37" s="119">
        <f>J18/4</f>
        <v>25</v>
      </c>
      <c r="K37" s="72">
        <f>(A4*0.25)/A2</f>
        <v>8.333333333333334</v>
      </c>
      <c r="L37" s="73"/>
      <c r="M37" s="73"/>
      <c r="N37" s="72"/>
      <c r="O37" s="72"/>
      <c r="P37" s="73"/>
      <c r="Q37" s="73"/>
      <c r="R37" s="72"/>
      <c r="S37" s="72"/>
      <c r="T37" s="73"/>
      <c r="U37" s="73"/>
      <c r="V37" s="72"/>
      <c r="W37" s="72"/>
      <c r="X37" s="72"/>
      <c r="Y37" s="72"/>
      <c r="Z37" s="73"/>
      <c r="AA37" s="73"/>
      <c r="AB37" s="72"/>
      <c r="AC37" s="72"/>
      <c r="AD37" s="73"/>
      <c r="AE37" s="73"/>
      <c r="AF37" s="72"/>
      <c r="AG37" s="72"/>
      <c r="AH37" s="73"/>
      <c r="AI37" s="106"/>
    </row>
    <row r="38" spans="1:35" ht="12.75">
      <c r="A38" s="60" t="s">
        <v>201</v>
      </c>
      <c r="B38" s="105">
        <f>A4</f>
        <v>100</v>
      </c>
      <c r="C38" s="72">
        <f>A4/A2</f>
        <v>33.333333333333336</v>
      </c>
      <c r="D38" s="73">
        <f aca="true" t="shared" si="6" ref="D38:I38">D35</f>
        <v>100</v>
      </c>
      <c r="E38" s="73">
        <f t="shared" si="6"/>
        <v>33.333333333333336</v>
      </c>
      <c r="F38" s="72">
        <f t="shared" si="6"/>
        <v>100</v>
      </c>
      <c r="G38" s="72">
        <f t="shared" si="6"/>
        <v>33.333333333333336</v>
      </c>
      <c r="H38" s="73">
        <f t="shared" si="6"/>
        <v>100</v>
      </c>
      <c r="I38" s="73">
        <f t="shared" si="6"/>
        <v>33.333333333333336</v>
      </c>
      <c r="J38" s="119">
        <f>J18/2</f>
        <v>50</v>
      </c>
      <c r="K38" s="72">
        <f>(A4*0.5)/A2</f>
        <v>16.666666666666668</v>
      </c>
      <c r="L38" s="73"/>
      <c r="M38" s="73"/>
      <c r="N38" s="72">
        <f>A4/2</f>
        <v>50</v>
      </c>
      <c r="O38" s="72">
        <f>(A4/2)/A2</f>
        <v>16.666666666666668</v>
      </c>
      <c r="P38" s="73"/>
      <c r="Q38" s="73"/>
      <c r="R38" s="72">
        <f>R35*0.25</f>
        <v>25</v>
      </c>
      <c r="S38" s="72">
        <f>S35*0.25</f>
        <v>8.333333333333334</v>
      </c>
      <c r="T38" s="119">
        <f>T35*0.25</f>
        <v>25</v>
      </c>
      <c r="U38" s="73">
        <f>U35*0.25</f>
        <v>8.333333333333334</v>
      </c>
      <c r="V38" s="72"/>
      <c r="W38" s="72"/>
      <c r="X38" s="119">
        <f>A4*0.25</f>
        <v>25</v>
      </c>
      <c r="Y38" s="72">
        <f>(A4*0.25)/A2</f>
        <v>8.333333333333334</v>
      </c>
      <c r="Z38" s="73">
        <f>A4</f>
        <v>100</v>
      </c>
      <c r="AA38" s="73">
        <f>A4/A2</f>
        <v>33.333333333333336</v>
      </c>
      <c r="AB38" s="72">
        <f>AB35-AB45</f>
        <v>0</v>
      </c>
      <c r="AC38" s="72">
        <f>AC35-AC45</f>
        <v>0</v>
      </c>
      <c r="AD38" s="119">
        <f>A4</f>
        <v>100</v>
      </c>
      <c r="AE38" s="73">
        <f>A4/A2</f>
        <v>33.333333333333336</v>
      </c>
      <c r="AF38" s="72"/>
      <c r="AG38" s="72"/>
      <c r="AH38" s="73">
        <f>A4</f>
        <v>100</v>
      </c>
      <c r="AI38" s="106">
        <f>A4/A2</f>
        <v>33.333333333333336</v>
      </c>
    </row>
    <row r="39" spans="1:35" ht="12.75">
      <c r="A39" s="4" t="s">
        <v>2</v>
      </c>
      <c r="B39" s="105"/>
      <c r="C39" s="72"/>
      <c r="D39" s="73"/>
      <c r="E39" s="73"/>
      <c r="F39" s="72"/>
      <c r="G39" s="72"/>
      <c r="H39" s="73"/>
      <c r="I39" s="73"/>
      <c r="J39" s="119">
        <f>J18/4</f>
        <v>25</v>
      </c>
      <c r="K39" s="72">
        <f>(A4*0.25)/A2</f>
        <v>8.333333333333334</v>
      </c>
      <c r="L39" s="73"/>
      <c r="M39" s="73"/>
      <c r="N39" s="72"/>
      <c r="O39" s="72"/>
      <c r="P39" s="73"/>
      <c r="Q39" s="73"/>
      <c r="R39" s="72"/>
      <c r="S39" s="72"/>
      <c r="T39" s="73"/>
      <c r="U39" s="73"/>
      <c r="V39" s="72"/>
      <c r="W39" s="72"/>
      <c r="X39" s="72"/>
      <c r="Y39" s="72"/>
      <c r="Z39" s="73"/>
      <c r="AA39" s="73"/>
      <c r="AB39" s="72"/>
      <c r="AC39" s="72"/>
      <c r="AD39" s="73"/>
      <c r="AE39" s="73"/>
      <c r="AF39" s="72"/>
      <c r="AG39" s="72"/>
      <c r="AH39" s="73"/>
      <c r="AI39" s="106"/>
    </row>
    <row r="40" spans="1:35" ht="12.75">
      <c r="A40" s="4" t="s">
        <v>3</v>
      </c>
      <c r="B40" s="105"/>
      <c r="C40" s="72"/>
      <c r="D40" s="73"/>
      <c r="E40" s="73"/>
      <c r="F40" s="72"/>
      <c r="G40" s="72"/>
      <c r="H40" s="73"/>
      <c r="I40" s="73"/>
      <c r="J40" s="72"/>
      <c r="K40" s="72"/>
      <c r="L40" s="119">
        <f>A4</f>
        <v>100</v>
      </c>
      <c r="M40" s="73">
        <f>A4/A2</f>
        <v>33.333333333333336</v>
      </c>
      <c r="N40" s="72"/>
      <c r="O40" s="72"/>
      <c r="P40" s="73"/>
      <c r="Q40" s="73"/>
      <c r="R40" s="72"/>
      <c r="S40" s="72"/>
      <c r="T40" s="73"/>
      <c r="U40" s="73"/>
      <c r="V40" s="72"/>
      <c r="W40" s="72"/>
      <c r="X40" s="72"/>
      <c r="Y40" s="72"/>
      <c r="Z40" s="73"/>
      <c r="AA40" s="73"/>
      <c r="AB40" s="72"/>
      <c r="AC40" s="72"/>
      <c r="AD40" s="73"/>
      <c r="AE40" s="73"/>
      <c r="AF40" s="72"/>
      <c r="AG40" s="72"/>
      <c r="AH40" s="73"/>
      <c r="AI40" s="106"/>
    </row>
    <row r="41" spans="1:35" ht="12.75">
      <c r="A41" s="4" t="s">
        <v>17</v>
      </c>
      <c r="B41" s="105"/>
      <c r="C41" s="72"/>
      <c r="D41" s="73"/>
      <c r="E41" s="73"/>
      <c r="F41" s="72"/>
      <c r="G41" s="72"/>
      <c r="H41" s="73"/>
      <c r="I41" s="73"/>
      <c r="J41" s="72"/>
      <c r="K41" s="72"/>
      <c r="L41" s="73"/>
      <c r="M41" s="73"/>
      <c r="N41" s="119">
        <f>A4/2</f>
        <v>50</v>
      </c>
      <c r="O41" s="72">
        <f>(A4/2)/A2</f>
        <v>16.666666666666668</v>
      </c>
      <c r="P41" s="73"/>
      <c r="Q41" s="73"/>
      <c r="R41" s="72"/>
      <c r="S41" s="72"/>
      <c r="T41" s="73"/>
      <c r="U41" s="73"/>
      <c r="V41" s="72"/>
      <c r="W41" s="72"/>
      <c r="X41" s="72"/>
      <c r="Y41" s="72"/>
      <c r="Z41" s="73"/>
      <c r="AA41" s="73"/>
      <c r="AB41" s="72"/>
      <c r="AC41" s="72"/>
      <c r="AD41" s="73"/>
      <c r="AE41" s="73"/>
      <c r="AF41" s="72"/>
      <c r="AG41" s="72"/>
      <c r="AH41" s="73"/>
      <c r="AI41" s="106"/>
    </row>
    <row r="42" spans="1:35" ht="12.75">
      <c r="A42" s="5" t="s">
        <v>18</v>
      </c>
      <c r="B42" s="105"/>
      <c r="C42" s="72"/>
      <c r="D42" s="73"/>
      <c r="E42" s="73"/>
      <c r="F42" s="72"/>
      <c r="G42" s="72"/>
      <c r="H42" s="73"/>
      <c r="I42" s="73"/>
      <c r="J42" s="72"/>
      <c r="K42" s="72"/>
      <c r="L42" s="73"/>
      <c r="M42" s="73"/>
      <c r="N42" s="72"/>
      <c r="O42" s="72"/>
      <c r="P42" s="119">
        <f>A4</f>
        <v>100</v>
      </c>
      <c r="Q42" s="73">
        <f>A4/A2</f>
        <v>33.333333333333336</v>
      </c>
      <c r="R42" s="119">
        <f>R35*0.75</f>
        <v>75</v>
      </c>
      <c r="S42" s="72">
        <f>S35*0.75</f>
        <v>25</v>
      </c>
      <c r="T42" s="119">
        <f>T35*0.75</f>
        <v>75</v>
      </c>
      <c r="U42" s="73">
        <f>U35*0.75</f>
        <v>25</v>
      </c>
      <c r="V42" s="72"/>
      <c r="W42" s="72"/>
      <c r="X42" s="72"/>
      <c r="Y42" s="72"/>
      <c r="Z42" s="73"/>
      <c r="AA42" s="73"/>
      <c r="AB42" s="72"/>
      <c r="AC42" s="72"/>
      <c r="AD42" s="73"/>
      <c r="AE42" s="73"/>
      <c r="AF42" s="72"/>
      <c r="AG42" s="72"/>
      <c r="AH42" s="73"/>
      <c r="AI42" s="106"/>
    </row>
    <row r="43" spans="1:35" ht="12.75">
      <c r="A43" s="5" t="s">
        <v>5</v>
      </c>
      <c r="B43" s="105"/>
      <c r="C43" s="72"/>
      <c r="D43" s="73"/>
      <c r="E43" s="73"/>
      <c r="F43" s="72"/>
      <c r="G43" s="72"/>
      <c r="H43" s="73"/>
      <c r="I43" s="73"/>
      <c r="J43" s="72"/>
      <c r="K43" s="72"/>
      <c r="L43" s="73"/>
      <c r="M43" s="73"/>
      <c r="N43" s="72"/>
      <c r="O43" s="72"/>
      <c r="P43" s="73"/>
      <c r="Q43" s="73"/>
      <c r="R43" s="72"/>
      <c r="S43" s="72"/>
      <c r="T43" s="73"/>
      <c r="U43" s="73"/>
      <c r="V43" s="119">
        <f>A4</f>
        <v>100</v>
      </c>
      <c r="W43" s="72">
        <f>A4/A2</f>
        <v>33.333333333333336</v>
      </c>
      <c r="X43" s="72"/>
      <c r="Y43" s="72"/>
      <c r="Z43" s="73"/>
      <c r="AA43" s="73"/>
      <c r="AB43" s="72"/>
      <c r="AC43" s="72"/>
      <c r="AD43" s="73"/>
      <c r="AE43" s="73"/>
      <c r="AF43" s="72"/>
      <c r="AG43" s="72"/>
      <c r="AH43" s="73"/>
      <c r="AI43" s="106"/>
    </row>
    <row r="44" spans="1:35" ht="12.75">
      <c r="A44" s="5" t="s">
        <v>6</v>
      </c>
      <c r="B44" s="105"/>
      <c r="C44" s="72"/>
      <c r="D44" s="73"/>
      <c r="E44" s="73"/>
      <c r="F44" s="72"/>
      <c r="G44" s="72"/>
      <c r="H44" s="73"/>
      <c r="I44" s="73"/>
      <c r="J44" s="72"/>
      <c r="K44" s="72"/>
      <c r="L44" s="73"/>
      <c r="M44" s="73"/>
      <c r="N44" s="72"/>
      <c r="O44" s="72"/>
      <c r="P44" s="73"/>
      <c r="Q44" s="73"/>
      <c r="R44" s="72"/>
      <c r="S44" s="72"/>
      <c r="T44" s="73"/>
      <c r="U44" s="73"/>
      <c r="V44" s="72"/>
      <c r="W44" s="72"/>
      <c r="X44" s="119">
        <f>A4*0.75</f>
        <v>75</v>
      </c>
      <c r="Y44" s="72">
        <f>(A4*0.75)/A2</f>
        <v>25</v>
      </c>
      <c r="Z44" s="73"/>
      <c r="AA44" s="73"/>
      <c r="AB44" s="72"/>
      <c r="AC44" s="72"/>
      <c r="AD44" s="73"/>
      <c r="AE44" s="73"/>
      <c r="AF44" s="72"/>
      <c r="AG44" s="72"/>
      <c r="AH44" s="73"/>
      <c r="AI44" s="106"/>
    </row>
    <row r="45" spans="1:35" ht="12.75">
      <c r="A45" s="5" t="s">
        <v>213</v>
      </c>
      <c r="B45" s="105"/>
      <c r="C45" s="72"/>
      <c r="D45" s="73"/>
      <c r="E45" s="73"/>
      <c r="F45" s="72"/>
      <c r="G45" s="72"/>
      <c r="H45" s="73"/>
      <c r="I45" s="73"/>
      <c r="J45" s="72"/>
      <c r="K45" s="72"/>
      <c r="L45" s="73"/>
      <c r="M45" s="73"/>
      <c r="N45" s="72"/>
      <c r="O45" s="72"/>
      <c r="P45" s="73"/>
      <c r="Q45" s="73"/>
      <c r="R45" s="72"/>
      <c r="S45" s="72"/>
      <c r="T45" s="73"/>
      <c r="U45" s="73"/>
      <c r="V45" s="72"/>
      <c r="W45" s="72"/>
      <c r="X45" s="72"/>
      <c r="Y45" s="72"/>
      <c r="Z45" s="73"/>
      <c r="AA45" s="73"/>
      <c r="AB45" s="120">
        <v>100</v>
      </c>
      <c r="AC45" s="107">
        <f>AB45/A2</f>
        <v>33.333333333333336</v>
      </c>
      <c r="AD45" s="73"/>
      <c r="AE45" s="73"/>
      <c r="AF45" s="72"/>
      <c r="AG45" s="72"/>
      <c r="AH45" s="73"/>
      <c r="AI45" s="106"/>
    </row>
  </sheetData>
  <sheetProtection sheet="1" objects="1" scenarios="1"/>
  <mergeCells count="19">
    <mergeCell ref="AH15:AI15"/>
    <mergeCell ref="Z15:AA15"/>
    <mergeCell ref="AF15:AG15"/>
    <mergeCell ref="AB15:AC15"/>
    <mergeCell ref="Z14:AA14"/>
    <mergeCell ref="AB14:AC14"/>
    <mergeCell ref="AD15:AE15"/>
    <mergeCell ref="R15:S15"/>
    <mergeCell ref="T15:U15"/>
    <mergeCell ref="V15:W15"/>
    <mergeCell ref="X15:Y15"/>
    <mergeCell ref="J15:K15"/>
    <mergeCell ref="L15:M15"/>
    <mergeCell ref="N15:O15"/>
    <mergeCell ref="P15:Q15"/>
    <mergeCell ref="B15:C15"/>
    <mergeCell ref="D15:E15"/>
    <mergeCell ref="F15:G15"/>
    <mergeCell ref="H15:I15"/>
  </mergeCells>
  <printOptions/>
  <pageMargins left="0.25" right="0" top="1" bottom="1" header="0.5" footer="0.5"/>
  <pageSetup fitToHeight="0" horizontalDpi="600" verticalDpi="600" orientation="landscape" scale="6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46"/>
  <sheetViews>
    <sheetView zoomScale="50" zoomScaleNormal="50" workbookViewId="0" topLeftCell="A1">
      <pane xSplit="1" topLeftCell="X1" activePane="topRight" state="frozen"/>
      <selection pane="topLeft" activeCell="A1" sqref="A1"/>
      <selection pane="topRight" activeCell="B3" sqref="B3"/>
    </sheetView>
  </sheetViews>
  <sheetFormatPr defaultColWidth="9.140625" defaultRowHeight="12.75"/>
  <cols>
    <col min="1" max="1" width="48.00390625" style="0" customWidth="1"/>
    <col min="2" max="2" width="13.8515625" style="0" customWidth="1"/>
    <col min="3" max="3" width="16.00390625" style="0" customWidth="1"/>
    <col min="4" max="4" width="14.28125" style="0" customWidth="1"/>
    <col min="5" max="5" width="15.00390625" style="0" customWidth="1"/>
    <col min="6" max="6" width="14.28125" style="0" customWidth="1"/>
    <col min="7" max="9" width="14.7109375" style="0" customWidth="1"/>
    <col min="10" max="10" width="16.7109375" style="0" customWidth="1"/>
    <col min="11" max="11" width="16.140625" style="0" customWidth="1"/>
    <col min="12" max="12" width="14.28125" style="0" customWidth="1"/>
    <col min="13" max="13" width="14.7109375" style="0" customWidth="1"/>
    <col min="14" max="14" width="14.28125" style="0" customWidth="1"/>
    <col min="15" max="15" width="15.28125" style="0" customWidth="1"/>
    <col min="16" max="16" width="14.28125" style="0" customWidth="1"/>
    <col min="17" max="21" width="15.421875" style="0" customWidth="1"/>
    <col min="22" max="22" width="14.28125" style="0" customWidth="1"/>
    <col min="23" max="23" width="15.00390625" style="0" customWidth="1"/>
    <col min="24" max="24" width="14.28125" style="0" customWidth="1"/>
    <col min="25" max="25" width="15.421875" style="0" customWidth="1"/>
    <col min="26" max="26" width="14.28125" style="0" customWidth="1"/>
    <col min="27" max="31" width="15.421875" style="0" customWidth="1"/>
    <col min="32" max="32" width="14.28125" style="0" customWidth="1"/>
    <col min="33" max="33" width="14.7109375" style="0" customWidth="1"/>
    <col min="34" max="34" width="14.28125" style="0" customWidth="1"/>
    <col min="35" max="35" width="14.7109375" style="0" customWidth="1"/>
  </cols>
  <sheetData>
    <row r="1" ht="12.75">
      <c r="A1" s="118" t="s">
        <v>19</v>
      </c>
    </row>
    <row r="2" ht="12.75">
      <c r="A2" s="113">
        <v>3</v>
      </c>
    </row>
    <row r="3" spans="1:34" ht="12.75">
      <c r="A3" s="118" t="s">
        <v>239</v>
      </c>
      <c r="C3" s="1"/>
      <c r="E3" s="1"/>
      <c r="G3" s="1"/>
      <c r="H3" s="1"/>
      <c r="I3" s="1"/>
      <c r="M3" s="1"/>
      <c r="O3" s="1"/>
      <c r="Q3" s="1"/>
      <c r="R3" s="1"/>
      <c r="S3" s="1"/>
      <c r="T3" s="1"/>
      <c r="U3" s="1"/>
      <c r="W3" s="1"/>
      <c r="Y3" s="1"/>
      <c r="Z3" s="1"/>
      <c r="AF3" s="1"/>
      <c r="AH3" s="1"/>
    </row>
    <row r="4" spans="1:34" ht="13.5" thickBot="1">
      <c r="A4" s="114">
        <v>150</v>
      </c>
      <c r="C4" s="1"/>
      <c r="E4" s="1"/>
      <c r="G4" s="1"/>
      <c r="H4" s="1"/>
      <c r="I4" s="1"/>
      <c r="M4" s="1"/>
      <c r="O4" s="1"/>
      <c r="Q4" s="1"/>
      <c r="R4" s="1"/>
      <c r="S4" s="1"/>
      <c r="T4" s="1"/>
      <c r="U4" s="1"/>
      <c r="W4" s="1"/>
      <c r="Y4" s="1"/>
      <c r="Z4" s="1"/>
      <c r="AF4" s="1"/>
      <c r="AH4" s="1"/>
    </row>
    <row r="5" spans="1:34" ht="12.75" hidden="1">
      <c r="A5" s="1" t="s">
        <v>190</v>
      </c>
      <c r="B5" s="3">
        <f>A4*1.075</f>
        <v>161.25</v>
      </c>
      <c r="E5" s="1"/>
      <c r="G5" s="1"/>
      <c r="H5" s="1"/>
      <c r="I5" s="1"/>
      <c r="M5" s="1"/>
      <c r="O5" s="1"/>
      <c r="Q5" s="1"/>
      <c r="R5" s="1"/>
      <c r="S5" s="1"/>
      <c r="T5" s="1"/>
      <c r="U5" s="1"/>
      <c r="W5" s="1"/>
      <c r="Y5" s="1"/>
      <c r="Z5" s="1"/>
      <c r="AF5" s="1"/>
      <c r="AH5" s="1"/>
    </row>
    <row r="6" spans="1:34" ht="12.75" hidden="1">
      <c r="A6" s="1" t="s">
        <v>189</v>
      </c>
      <c r="B6" s="3">
        <v>25</v>
      </c>
      <c r="C6" s="1"/>
      <c r="E6" s="1"/>
      <c r="G6" s="1"/>
      <c r="H6" s="1"/>
      <c r="I6" s="1"/>
      <c r="M6" s="1"/>
      <c r="O6" s="1"/>
      <c r="Q6" s="1"/>
      <c r="R6" s="1"/>
      <c r="S6" s="1"/>
      <c r="T6" s="1"/>
      <c r="U6" s="1"/>
      <c r="W6" s="1"/>
      <c r="Y6" s="1"/>
      <c r="Z6" s="1"/>
      <c r="AF6" s="1"/>
      <c r="AH6" s="1"/>
    </row>
    <row r="7" spans="1:34" ht="12.75" hidden="1">
      <c r="A7" s="1" t="s">
        <v>188</v>
      </c>
      <c r="B7" s="3">
        <v>25</v>
      </c>
      <c r="C7" s="1"/>
      <c r="E7" s="1"/>
      <c r="G7" s="1"/>
      <c r="H7" s="1"/>
      <c r="I7" s="1"/>
      <c r="M7" s="1"/>
      <c r="O7" s="1"/>
      <c r="Q7" s="1"/>
      <c r="R7" s="1"/>
      <c r="S7" s="1"/>
      <c r="T7" s="1"/>
      <c r="U7" s="1"/>
      <c r="W7" s="1"/>
      <c r="Y7" s="1"/>
      <c r="Z7" s="1"/>
      <c r="AF7" s="1"/>
      <c r="AH7" s="1"/>
    </row>
    <row r="8" spans="1:34" ht="12.75" hidden="1">
      <c r="A8" s="1" t="s">
        <v>187</v>
      </c>
      <c r="B8" s="3">
        <v>100</v>
      </c>
      <c r="C8" s="1"/>
      <c r="E8" s="1"/>
      <c r="G8" s="1"/>
      <c r="H8" s="1"/>
      <c r="I8" s="1"/>
      <c r="M8" s="1"/>
      <c r="O8" s="1"/>
      <c r="Q8" s="1"/>
      <c r="R8" s="1"/>
      <c r="S8" s="1"/>
      <c r="T8" s="1"/>
      <c r="U8" s="1"/>
      <c r="W8" s="1"/>
      <c r="Y8" s="1"/>
      <c r="Z8" s="1"/>
      <c r="AF8" s="1"/>
      <c r="AH8" s="1"/>
    </row>
    <row r="9" spans="1:34" ht="12.75" hidden="1">
      <c r="A9" s="1" t="s">
        <v>186</v>
      </c>
      <c r="B9" s="3">
        <v>12</v>
      </c>
      <c r="C9" s="1"/>
      <c r="E9" s="1"/>
      <c r="G9" s="1"/>
      <c r="H9" s="1"/>
      <c r="I9" s="1"/>
      <c r="M9" s="1"/>
      <c r="O9" s="1"/>
      <c r="Q9" s="1"/>
      <c r="R9" s="1"/>
      <c r="S9" s="1"/>
      <c r="T9" s="1"/>
      <c r="U9" s="1"/>
      <c r="W9" s="1"/>
      <c r="Y9" s="1"/>
      <c r="Z9" s="1"/>
      <c r="AF9" s="1"/>
      <c r="AH9" s="1"/>
    </row>
    <row r="10" spans="1:34" ht="12.75" hidden="1">
      <c r="A10" s="1" t="s">
        <v>185</v>
      </c>
      <c r="B10" s="3">
        <v>100</v>
      </c>
      <c r="C10" s="1"/>
      <c r="E10" s="1"/>
      <c r="G10" s="1"/>
      <c r="H10" s="1"/>
      <c r="I10" s="1"/>
      <c r="M10" s="1"/>
      <c r="O10" s="1"/>
      <c r="Q10" s="1"/>
      <c r="R10" s="1"/>
      <c r="S10" s="1"/>
      <c r="T10" s="1"/>
      <c r="U10" s="1"/>
      <c r="W10" s="1"/>
      <c r="Y10" s="1"/>
      <c r="Z10" s="1"/>
      <c r="AF10" s="1"/>
      <c r="AH10" s="1"/>
    </row>
    <row r="11" spans="1:34" ht="12.75" hidden="1">
      <c r="A11" s="1" t="s">
        <v>184</v>
      </c>
      <c r="B11" s="3"/>
      <c r="C11" s="1"/>
      <c r="E11" s="1"/>
      <c r="G11" s="1"/>
      <c r="H11" s="1"/>
      <c r="I11" s="1"/>
      <c r="M11" s="1"/>
      <c r="O11" s="1"/>
      <c r="Q11" s="1"/>
      <c r="R11" s="1"/>
      <c r="S11" s="1"/>
      <c r="T11" s="1"/>
      <c r="U11" s="1"/>
      <c r="W11" s="1"/>
      <c r="Y11" s="1"/>
      <c r="Z11" s="1"/>
      <c r="AF11" s="1"/>
      <c r="AH11" s="1"/>
    </row>
    <row r="12" spans="1:34" ht="12.75" hidden="1">
      <c r="A12" s="1" t="s">
        <v>183</v>
      </c>
      <c r="B12" s="3">
        <v>50</v>
      </c>
      <c r="C12" s="1"/>
      <c r="E12" s="1"/>
      <c r="G12" s="1"/>
      <c r="H12" s="1"/>
      <c r="I12" s="1"/>
      <c r="M12" s="1"/>
      <c r="O12" s="1"/>
      <c r="Q12" s="1"/>
      <c r="R12" s="1"/>
      <c r="S12" s="1"/>
      <c r="T12" s="1"/>
      <c r="U12" s="1"/>
      <c r="W12" s="1"/>
      <c r="Y12" s="1"/>
      <c r="Z12" s="1"/>
      <c r="AF12" s="1"/>
      <c r="AH12" s="1"/>
    </row>
    <row r="13" spans="1:34" ht="13.5" hidden="1" thickBot="1">
      <c r="A13" s="1" t="s">
        <v>179</v>
      </c>
      <c r="B13" s="3">
        <v>41</v>
      </c>
      <c r="C13" s="1"/>
      <c r="E13" s="1"/>
      <c r="G13" s="1"/>
      <c r="H13" s="1"/>
      <c r="I13" s="1"/>
      <c r="M13" s="1"/>
      <c r="O13" s="1"/>
      <c r="Q13" s="1"/>
      <c r="R13" s="1"/>
      <c r="S13" s="1"/>
      <c r="T13" s="1"/>
      <c r="U13" s="1"/>
      <c r="W13" s="1"/>
      <c r="Y13" s="1"/>
      <c r="Z13" s="1"/>
      <c r="AF13" s="1"/>
      <c r="AH13" s="1"/>
    </row>
    <row r="14" spans="1:34" ht="14.25" thickBot="1" thickTop="1">
      <c r="A14" s="1"/>
      <c r="C14" s="1"/>
      <c r="E14" s="1"/>
      <c r="G14" s="1"/>
      <c r="H14" s="1"/>
      <c r="I14" s="1"/>
      <c r="M14" s="1"/>
      <c r="O14" s="1"/>
      <c r="Q14" s="1"/>
      <c r="R14" s="1"/>
      <c r="S14" s="1"/>
      <c r="T14" s="1"/>
      <c r="U14" s="1"/>
      <c r="W14" s="1"/>
      <c r="Y14" s="1"/>
      <c r="Z14" s="170" t="s">
        <v>206</v>
      </c>
      <c r="AA14" s="170"/>
      <c r="AB14" s="188" t="s">
        <v>207</v>
      </c>
      <c r="AC14" s="188"/>
      <c r="AF14" s="1"/>
      <c r="AH14" s="1"/>
    </row>
    <row r="15" spans="1:35" ht="40.5" customHeight="1" thickBot="1" thickTop="1">
      <c r="A15" s="62"/>
      <c r="B15" s="185" t="s">
        <v>7</v>
      </c>
      <c r="C15" s="185"/>
      <c r="D15" s="186" t="s">
        <v>8</v>
      </c>
      <c r="E15" s="186"/>
      <c r="F15" s="187" t="s">
        <v>22</v>
      </c>
      <c r="G15" s="187"/>
      <c r="H15" s="169" t="s">
        <v>202</v>
      </c>
      <c r="I15" s="169"/>
      <c r="J15" s="179" t="s">
        <v>14</v>
      </c>
      <c r="K15" s="180"/>
      <c r="L15" s="181" t="s">
        <v>9</v>
      </c>
      <c r="M15" s="182"/>
      <c r="N15" s="179" t="s">
        <v>15</v>
      </c>
      <c r="O15" s="180"/>
      <c r="P15" s="181" t="s">
        <v>10</v>
      </c>
      <c r="Q15" s="182"/>
      <c r="R15" s="174" t="s">
        <v>196</v>
      </c>
      <c r="S15" s="175"/>
      <c r="T15" s="177" t="s">
        <v>197</v>
      </c>
      <c r="U15" s="178"/>
      <c r="V15" s="179" t="s">
        <v>11</v>
      </c>
      <c r="W15" s="180"/>
      <c r="X15" s="179" t="s">
        <v>12</v>
      </c>
      <c r="Y15" s="180"/>
      <c r="Z15" s="177" t="s">
        <v>208</v>
      </c>
      <c r="AA15" s="178"/>
      <c r="AB15" s="174" t="s">
        <v>208</v>
      </c>
      <c r="AC15" s="175"/>
      <c r="AD15" s="177" t="s">
        <v>291</v>
      </c>
      <c r="AE15" s="178"/>
      <c r="AF15" s="174" t="s">
        <v>210</v>
      </c>
      <c r="AG15" s="175"/>
      <c r="AH15" s="177" t="s">
        <v>13</v>
      </c>
      <c r="AI15" s="178"/>
    </row>
    <row r="16" spans="1:35" ht="28.5" customHeight="1" thickBot="1" thickTop="1">
      <c r="A16" s="6"/>
      <c r="B16" s="66" t="s">
        <v>204</v>
      </c>
      <c r="C16" s="66" t="s">
        <v>205</v>
      </c>
      <c r="D16" s="61" t="s">
        <v>204</v>
      </c>
      <c r="E16" s="61" t="s">
        <v>205</v>
      </c>
      <c r="F16" s="66" t="s">
        <v>204</v>
      </c>
      <c r="G16" s="66" t="s">
        <v>205</v>
      </c>
      <c r="H16" s="61" t="s">
        <v>204</v>
      </c>
      <c r="I16" s="61" t="s">
        <v>205</v>
      </c>
      <c r="J16" s="66" t="s">
        <v>204</v>
      </c>
      <c r="K16" s="66" t="s">
        <v>205</v>
      </c>
      <c r="L16" s="61" t="s">
        <v>204</v>
      </c>
      <c r="M16" s="61" t="s">
        <v>205</v>
      </c>
      <c r="N16" s="66" t="s">
        <v>204</v>
      </c>
      <c r="O16" s="66" t="s">
        <v>205</v>
      </c>
      <c r="P16" s="61" t="s">
        <v>204</v>
      </c>
      <c r="Q16" s="61" t="s">
        <v>205</v>
      </c>
      <c r="R16" s="66" t="s">
        <v>204</v>
      </c>
      <c r="S16" s="66" t="s">
        <v>205</v>
      </c>
      <c r="T16" s="61" t="s">
        <v>204</v>
      </c>
      <c r="U16" s="61" t="s">
        <v>205</v>
      </c>
      <c r="V16" s="66" t="s">
        <v>204</v>
      </c>
      <c r="W16" s="66" t="s">
        <v>205</v>
      </c>
      <c r="X16" s="66" t="s">
        <v>204</v>
      </c>
      <c r="Y16" s="66" t="s">
        <v>205</v>
      </c>
      <c r="Z16" s="61" t="s">
        <v>204</v>
      </c>
      <c r="AA16" s="61" t="s">
        <v>205</v>
      </c>
      <c r="AB16" s="66" t="s">
        <v>204</v>
      </c>
      <c r="AC16" s="66" t="s">
        <v>205</v>
      </c>
      <c r="AD16" s="61" t="s">
        <v>204</v>
      </c>
      <c r="AE16" s="61" t="s">
        <v>205</v>
      </c>
      <c r="AF16" s="66" t="s">
        <v>204</v>
      </c>
      <c r="AG16" s="66" t="s">
        <v>205</v>
      </c>
      <c r="AH16" s="61" t="s">
        <v>204</v>
      </c>
      <c r="AI16" s="61" t="s">
        <v>205</v>
      </c>
    </row>
    <row r="17" spans="1:35" ht="12.75">
      <c r="A17" s="1"/>
      <c r="B17" s="103"/>
      <c r="C17" s="97"/>
      <c r="D17" s="70"/>
      <c r="E17" s="70"/>
      <c r="F17" s="97"/>
      <c r="G17" s="97"/>
      <c r="H17" s="70"/>
      <c r="I17" s="70"/>
      <c r="J17" s="97"/>
      <c r="K17" s="97"/>
      <c r="L17" s="70"/>
      <c r="M17" s="70"/>
      <c r="N17" s="97"/>
      <c r="O17" s="97"/>
      <c r="P17" s="70"/>
      <c r="Q17" s="70"/>
      <c r="R17" s="97"/>
      <c r="S17" s="97"/>
      <c r="T17" s="70"/>
      <c r="U17" s="70"/>
      <c r="V17" s="97"/>
      <c r="W17" s="97"/>
      <c r="X17" s="97"/>
      <c r="Y17" s="97"/>
      <c r="Z17" s="70"/>
      <c r="AA17" s="70"/>
      <c r="AB17" s="97"/>
      <c r="AC17" s="97"/>
      <c r="AD17" s="70"/>
      <c r="AE17" s="70"/>
      <c r="AF17" s="97"/>
      <c r="AG17" s="97"/>
      <c r="AH17" s="70"/>
      <c r="AI17" s="104"/>
    </row>
    <row r="18" spans="1:35" ht="12.75">
      <c r="A18" s="7" t="s">
        <v>209</v>
      </c>
      <c r="B18" s="105">
        <f>A4+B5+B7</f>
        <v>336.25</v>
      </c>
      <c r="C18" s="72">
        <f>B18*1.03</f>
        <v>346.33750000000003</v>
      </c>
      <c r="D18" s="73">
        <f>A4+B5+B6+B7</f>
        <v>361.25</v>
      </c>
      <c r="E18" s="73">
        <f>D18*1.03</f>
        <v>372.08750000000003</v>
      </c>
      <c r="F18" s="72">
        <f>A4+B5+B6+B7</f>
        <v>361.25</v>
      </c>
      <c r="G18" s="72">
        <f>F18*1.03</f>
        <v>372.08750000000003</v>
      </c>
      <c r="H18" s="73">
        <f>A4+B5+B6+B7+B10</f>
        <v>461.25</v>
      </c>
      <c r="I18" s="73">
        <f>H18*1.03</f>
        <v>475.08750000000003</v>
      </c>
      <c r="J18" s="72">
        <f>A4</f>
        <v>150</v>
      </c>
      <c r="K18" s="72">
        <f>(A4*1.04)/A2</f>
        <v>52</v>
      </c>
      <c r="L18" s="73">
        <f>A4+B5+B6+B7</f>
        <v>361.25</v>
      </c>
      <c r="M18" s="73">
        <f>L18*1.03</f>
        <v>372.08750000000003</v>
      </c>
      <c r="N18" s="72">
        <f>A4+B5+B6+B7</f>
        <v>361.25</v>
      </c>
      <c r="O18" s="72">
        <f>N18*1.03</f>
        <v>372.08750000000003</v>
      </c>
      <c r="P18" s="73">
        <f>A4+B5+B6+B7</f>
        <v>361.25</v>
      </c>
      <c r="Q18" s="73">
        <f>P18*1.03</f>
        <v>372.08750000000003</v>
      </c>
      <c r="R18" s="72">
        <f>A4+B5+B6+B7+B12</f>
        <v>411.25</v>
      </c>
      <c r="S18" s="72">
        <f>R18*1.03</f>
        <v>423.58750000000003</v>
      </c>
      <c r="T18" s="73">
        <f>A4+B5+B6+B7</f>
        <v>361.25</v>
      </c>
      <c r="U18" s="73">
        <f>T18*1.03</f>
        <v>372.08750000000003</v>
      </c>
      <c r="V18" s="72">
        <f>A4+B5+B6+B7</f>
        <v>361.25</v>
      </c>
      <c r="W18" s="72">
        <f>V18*1.03</f>
        <v>372.08750000000003</v>
      </c>
      <c r="X18" s="72">
        <f>A4+B5+B6+B7</f>
        <v>361.25</v>
      </c>
      <c r="Y18" s="72">
        <f>X18/1.03</f>
        <v>350.7281553398058</v>
      </c>
      <c r="Z18" s="73">
        <f>A4+B5+B6+B7+B8+B9</f>
        <v>473.25</v>
      </c>
      <c r="AA18" s="73">
        <f>Z18*1.03</f>
        <v>487.4475</v>
      </c>
      <c r="AB18" s="72">
        <f>A4+B5+B6+B7+B8+B9</f>
        <v>473.25</v>
      </c>
      <c r="AC18" s="72">
        <f>AB18*1.03</f>
        <v>487.4475</v>
      </c>
      <c r="AD18" s="73">
        <f>A4</f>
        <v>150</v>
      </c>
      <c r="AE18" s="73">
        <f>AD18*1.03</f>
        <v>154.5</v>
      </c>
      <c r="AF18" s="72">
        <f>B13</f>
        <v>41</v>
      </c>
      <c r="AG18" s="72">
        <f>AF18*1.03</f>
        <v>42.230000000000004</v>
      </c>
      <c r="AH18" s="73">
        <f>A4+B5+B6+B7+B13</f>
        <v>402.25</v>
      </c>
      <c r="AI18" s="106">
        <f>AH18*1.03</f>
        <v>414.3175</v>
      </c>
    </row>
    <row r="19" spans="1:35" ht="12.75">
      <c r="A19" s="5"/>
      <c r="B19" s="105"/>
      <c r="C19" s="72"/>
      <c r="D19" s="73"/>
      <c r="E19" s="73"/>
      <c r="F19" s="72"/>
      <c r="G19" s="72"/>
      <c r="H19" s="73"/>
      <c r="I19" s="73"/>
      <c r="J19" s="72"/>
      <c r="K19" s="72"/>
      <c r="L19" s="73"/>
      <c r="M19" s="73"/>
      <c r="N19" s="72"/>
      <c r="O19" s="72"/>
      <c r="P19" s="73"/>
      <c r="Q19" s="73"/>
      <c r="R19" s="72"/>
      <c r="S19" s="72"/>
      <c r="T19" s="73"/>
      <c r="U19" s="73"/>
      <c r="V19" s="72"/>
      <c r="W19" s="72"/>
      <c r="X19" s="72"/>
      <c r="Y19" s="72"/>
      <c r="Z19" s="73"/>
      <c r="AA19" s="73"/>
      <c r="AB19" s="72"/>
      <c r="AC19" s="72"/>
      <c r="AD19" s="73"/>
      <c r="AE19" s="73"/>
      <c r="AF19" s="72"/>
      <c r="AG19" s="72"/>
      <c r="AH19" s="73"/>
      <c r="AI19" s="106"/>
    </row>
    <row r="20" spans="1:35" ht="12.75">
      <c r="A20" s="58" t="s">
        <v>181</v>
      </c>
      <c r="B20" s="105">
        <f>SUM(B22:B31)</f>
        <v>186.25</v>
      </c>
      <c r="C20" s="72">
        <f>SUM(C21:C31)</f>
        <v>65.44583333333334</v>
      </c>
      <c r="D20" s="73">
        <f aca="true" t="shared" si="0" ref="D20:I20">SUM(D22:D31)</f>
        <v>211.25</v>
      </c>
      <c r="E20" s="73">
        <f t="shared" si="0"/>
        <v>74.02916666666668</v>
      </c>
      <c r="F20" s="72">
        <f t="shared" si="0"/>
        <v>211.25</v>
      </c>
      <c r="G20" s="72">
        <f t="shared" si="0"/>
        <v>74.02916666666668</v>
      </c>
      <c r="H20" s="73">
        <f t="shared" si="0"/>
        <v>311.25</v>
      </c>
      <c r="I20" s="73">
        <f t="shared" si="0"/>
        <v>108.36250000000001</v>
      </c>
      <c r="J20" s="72"/>
      <c r="K20" s="72"/>
      <c r="L20" s="73">
        <f>SUM(L22:L31)</f>
        <v>211.25</v>
      </c>
      <c r="M20" s="73">
        <f>SUM(M22:M31)</f>
        <v>74.02916666666668</v>
      </c>
      <c r="N20" s="72">
        <f>SUM(N22:N31)</f>
        <v>211.25</v>
      </c>
      <c r="O20" s="72">
        <f aca="true" t="shared" si="1" ref="O20:AG20">SUM(O21:O31)</f>
        <v>74.02916666666668</v>
      </c>
      <c r="P20" s="73">
        <f>SUM(P21:P31)</f>
        <v>211.25</v>
      </c>
      <c r="Q20" s="73">
        <f t="shared" si="1"/>
        <v>74.02916666666668</v>
      </c>
      <c r="R20" s="72">
        <f>SUM(R21:R31)</f>
        <v>261.25</v>
      </c>
      <c r="S20" s="72">
        <f>SUM(S21:S31)</f>
        <v>91.19583333333335</v>
      </c>
      <c r="T20" s="73">
        <f>SUM(T21:T31)</f>
        <v>211.25</v>
      </c>
      <c r="U20" s="73">
        <f>SUM(U21:U31)</f>
        <v>74.02916666666668</v>
      </c>
      <c r="V20" s="72">
        <f t="shared" si="1"/>
        <v>211.25</v>
      </c>
      <c r="W20" s="72">
        <f>SUM(W22:W31)</f>
        <v>74.02916666666668</v>
      </c>
      <c r="X20" s="72">
        <f t="shared" si="1"/>
        <v>211.25</v>
      </c>
      <c r="Y20" s="72">
        <f t="shared" si="1"/>
        <v>66.90938511326861</v>
      </c>
      <c r="Z20" s="73">
        <f t="shared" si="1"/>
        <v>323.25</v>
      </c>
      <c r="AA20" s="73">
        <f t="shared" si="1"/>
        <v>112.4825</v>
      </c>
      <c r="AB20" s="72">
        <f>SUM(AB21:AB31)</f>
        <v>323.25</v>
      </c>
      <c r="AC20" s="72">
        <f>SUM(AC21:AC31)</f>
        <v>112.4825</v>
      </c>
      <c r="AD20" s="73"/>
      <c r="AE20" s="73"/>
      <c r="AF20" s="72">
        <f t="shared" si="1"/>
        <v>41</v>
      </c>
      <c r="AG20" s="72">
        <f t="shared" si="1"/>
        <v>14.076666666666668</v>
      </c>
      <c r="AH20" s="73">
        <f>SUM(AH21:AH31)</f>
        <v>252.25</v>
      </c>
      <c r="AI20" s="106">
        <f>SUM(AI21:AI31)</f>
        <v>88.10583333333332</v>
      </c>
    </row>
    <row r="21" spans="1:35" ht="12.75">
      <c r="A21" s="57" t="s">
        <v>182</v>
      </c>
      <c r="B21" s="105"/>
      <c r="C21" s="72"/>
      <c r="D21" s="73"/>
      <c r="E21" s="73"/>
      <c r="F21" s="72"/>
      <c r="G21" s="72"/>
      <c r="H21" s="73"/>
      <c r="I21" s="73"/>
      <c r="J21" s="72"/>
      <c r="K21" s="72"/>
      <c r="L21" s="73"/>
      <c r="M21" s="73"/>
      <c r="N21" s="72"/>
      <c r="O21" s="72"/>
      <c r="P21" s="73"/>
      <c r="Q21" s="73"/>
      <c r="R21" s="72"/>
      <c r="S21" s="72"/>
      <c r="T21" s="73"/>
      <c r="U21" s="73"/>
      <c r="V21" s="72"/>
      <c r="W21" s="72"/>
      <c r="X21" s="72"/>
      <c r="Y21" s="72"/>
      <c r="Z21" s="73"/>
      <c r="AA21" s="73"/>
      <c r="AB21" s="72"/>
      <c r="AC21" s="72"/>
      <c r="AD21" s="73"/>
      <c r="AE21" s="73"/>
      <c r="AF21" s="72"/>
      <c r="AG21" s="72"/>
      <c r="AH21" s="73"/>
      <c r="AI21" s="106"/>
    </row>
    <row r="22" spans="1:35" ht="12.75">
      <c r="A22" s="59" t="s">
        <v>235</v>
      </c>
      <c r="B22" s="105"/>
      <c r="C22" s="119">
        <f>(C18-B18)/A2</f>
        <v>3.3625000000000114</v>
      </c>
      <c r="D22" s="73"/>
      <c r="E22" s="73">
        <f>(E18-D18)/A2</f>
        <v>3.6125000000000114</v>
      </c>
      <c r="F22" s="72"/>
      <c r="G22" s="72">
        <f>(G18-F18)/A2</f>
        <v>3.6125000000000114</v>
      </c>
      <c r="H22" s="73"/>
      <c r="I22" s="73">
        <f>(I18-H18)/A2</f>
        <v>4.612500000000011</v>
      </c>
      <c r="J22" s="72"/>
      <c r="K22" s="72">
        <f>(A4*0.04)/A2</f>
        <v>2</v>
      </c>
      <c r="L22" s="73"/>
      <c r="M22" s="73">
        <f>(M18-L18)/A2</f>
        <v>3.6125000000000114</v>
      </c>
      <c r="N22" s="72"/>
      <c r="O22" s="72">
        <f>(O18-N18)/A2</f>
        <v>3.6125000000000114</v>
      </c>
      <c r="P22" s="73"/>
      <c r="Q22" s="73">
        <f>(Q18-P18)/A2</f>
        <v>3.6125000000000114</v>
      </c>
      <c r="R22" s="72"/>
      <c r="S22" s="72">
        <f>(S18-R18)/A2</f>
        <v>4.112500000000011</v>
      </c>
      <c r="T22" s="73"/>
      <c r="U22" s="73">
        <f>(U18-T18)/A2</f>
        <v>3.6125000000000114</v>
      </c>
      <c r="V22" s="72"/>
      <c r="W22" s="72">
        <f>(W18-V18)/A2</f>
        <v>3.6125000000000114</v>
      </c>
      <c r="X22" s="72"/>
      <c r="Y22" s="72">
        <f>(Y18-X18)/A2</f>
        <v>-3.507281553398059</v>
      </c>
      <c r="Z22" s="73"/>
      <c r="AA22" s="73">
        <f>(AA18-Z18)/A2</f>
        <v>4.732499999999997</v>
      </c>
      <c r="AB22" s="72"/>
      <c r="AC22" s="72">
        <f>(AC18-AB18)/A2</f>
        <v>4.732499999999997</v>
      </c>
      <c r="AD22" s="73"/>
      <c r="AE22" s="73">
        <f>(AE18-AD18)/A2</f>
        <v>1.5</v>
      </c>
      <c r="AF22" s="72"/>
      <c r="AG22" s="72">
        <f>(AG18-AF18)/A2</f>
        <v>0.4100000000000013</v>
      </c>
      <c r="AH22" s="73"/>
      <c r="AI22" s="106">
        <f>(AI18-AH18)/A2</f>
        <v>4.022499999999998</v>
      </c>
    </row>
    <row r="23" spans="1:35" ht="12.75">
      <c r="A23" s="4" t="s">
        <v>191</v>
      </c>
      <c r="B23" s="105"/>
      <c r="C23" s="72"/>
      <c r="D23" s="119">
        <f>B6</f>
        <v>25</v>
      </c>
      <c r="E23" s="73">
        <f>B6/A2</f>
        <v>8.333333333333334</v>
      </c>
      <c r="F23" s="72">
        <f>B6</f>
        <v>25</v>
      </c>
      <c r="G23" s="72">
        <f>B6/A2</f>
        <v>8.333333333333334</v>
      </c>
      <c r="H23" s="73">
        <f>B6</f>
        <v>25</v>
      </c>
      <c r="I23" s="73">
        <f>B6/A2</f>
        <v>8.333333333333334</v>
      </c>
      <c r="J23" s="72"/>
      <c r="K23" s="72"/>
      <c r="L23" s="73">
        <f>B6</f>
        <v>25</v>
      </c>
      <c r="M23" s="73">
        <f>B6/A2</f>
        <v>8.333333333333334</v>
      </c>
      <c r="N23" s="72">
        <f>B6</f>
        <v>25</v>
      </c>
      <c r="O23" s="72">
        <f>B6/A2</f>
        <v>8.333333333333334</v>
      </c>
      <c r="P23" s="73">
        <f>B6</f>
        <v>25</v>
      </c>
      <c r="Q23" s="73">
        <f>B6/A2</f>
        <v>8.333333333333334</v>
      </c>
      <c r="R23" s="72">
        <f>B6</f>
        <v>25</v>
      </c>
      <c r="S23" s="72">
        <f>B6/A2</f>
        <v>8.333333333333334</v>
      </c>
      <c r="T23" s="73">
        <f>B6</f>
        <v>25</v>
      </c>
      <c r="U23" s="73">
        <f>B6/A2</f>
        <v>8.333333333333334</v>
      </c>
      <c r="V23" s="72">
        <f>B6</f>
        <v>25</v>
      </c>
      <c r="W23" s="72">
        <f>B6/A2</f>
        <v>8.333333333333334</v>
      </c>
      <c r="X23" s="72">
        <f>B6</f>
        <v>25</v>
      </c>
      <c r="Y23" s="72">
        <f>B6/A2</f>
        <v>8.333333333333334</v>
      </c>
      <c r="Z23" s="73">
        <f>B6</f>
        <v>25</v>
      </c>
      <c r="AA23" s="73">
        <f>B6/A2</f>
        <v>8.333333333333334</v>
      </c>
      <c r="AB23" s="72">
        <f>B6</f>
        <v>25</v>
      </c>
      <c r="AC23" s="72">
        <f>B6/A2</f>
        <v>8.333333333333334</v>
      </c>
      <c r="AD23" s="73"/>
      <c r="AE23" s="73"/>
      <c r="AF23" s="72"/>
      <c r="AG23" s="72"/>
      <c r="AH23" s="73">
        <f>B6</f>
        <v>25</v>
      </c>
      <c r="AI23" s="106">
        <f>B6/A2</f>
        <v>8.333333333333334</v>
      </c>
    </row>
    <row r="24" spans="1:35" ht="12.75">
      <c r="A24" s="4" t="s">
        <v>192</v>
      </c>
      <c r="B24" s="105">
        <f>B7</f>
        <v>25</v>
      </c>
      <c r="C24" s="72">
        <f>B7/A2</f>
        <v>8.333333333333334</v>
      </c>
      <c r="D24" s="73">
        <f>B7</f>
        <v>25</v>
      </c>
      <c r="E24" s="73">
        <f>B7/A2</f>
        <v>8.333333333333334</v>
      </c>
      <c r="F24" s="72">
        <f>B7</f>
        <v>25</v>
      </c>
      <c r="G24" s="72">
        <f>B7/A2</f>
        <v>8.333333333333334</v>
      </c>
      <c r="H24" s="73">
        <f>B7</f>
        <v>25</v>
      </c>
      <c r="I24" s="73">
        <f>B7/A2</f>
        <v>8.333333333333334</v>
      </c>
      <c r="J24" s="72"/>
      <c r="K24" s="72"/>
      <c r="L24" s="73">
        <f>B7</f>
        <v>25</v>
      </c>
      <c r="M24" s="73">
        <f>B7/A2</f>
        <v>8.333333333333334</v>
      </c>
      <c r="N24" s="72">
        <f>B7</f>
        <v>25</v>
      </c>
      <c r="O24" s="72">
        <f>B7/A2</f>
        <v>8.333333333333334</v>
      </c>
      <c r="P24" s="73">
        <f>B7</f>
        <v>25</v>
      </c>
      <c r="Q24" s="73">
        <f>B7/A2</f>
        <v>8.333333333333334</v>
      </c>
      <c r="R24" s="72">
        <f>B7</f>
        <v>25</v>
      </c>
      <c r="S24" s="72">
        <f>B7/A2</f>
        <v>8.333333333333334</v>
      </c>
      <c r="T24" s="73">
        <f>B7</f>
        <v>25</v>
      </c>
      <c r="U24" s="73">
        <f>B7/A2</f>
        <v>8.333333333333334</v>
      </c>
      <c r="V24" s="72">
        <f>B7</f>
        <v>25</v>
      </c>
      <c r="W24" s="72">
        <f>B7/A2</f>
        <v>8.333333333333334</v>
      </c>
      <c r="X24" s="72">
        <f>B7</f>
        <v>25</v>
      </c>
      <c r="Y24" s="72">
        <f>B7/A2</f>
        <v>8.333333333333334</v>
      </c>
      <c r="Z24" s="73">
        <f>B7</f>
        <v>25</v>
      </c>
      <c r="AA24" s="73">
        <f>B7/A2</f>
        <v>8.333333333333334</v>
      </c>
      <c r="AB24" s="72">
        <f>B7</f>
        <v>25</v>
      </c>
      <c r="AC24" s="72">
        <f>B7/A2</f>
        <v>8.333333333333334</v>
      </c>
      <c r="AD24" s="73"/>
      <c r="AE24" s="73"/>
      <c r="AF24" s="72"/>
      <c r="AG24" s="72"/>
      <c r="AH24" s="73">
        <f>B7</f>
        <v>25</v>
      </c>
      <c r="AI24" s="106">
        <f>B7/A2</f>
        <v>8.333333333333334</v>
      </c>
    </row>
    <row r="25" spans="1:35" ht="12.75">
      <c r="A25" s="4" t="s">
        <v>193</v>
      </c>
      <c r="B25" s="105"/>
      <c r="C25" s="72"/>
      <c r="D25" s="73"/>
      <c r="E25" s="73"/>
      <c r="F25" s="72"/>
      <c r="G25" s="72"/>
      <c r="H25" s="73"/>
      <c r="I25" s="73"/>
      <c r="J25" s="72"/>
      <c r="K25" s="72"/>
      <c r="L25" s="73"/>
      <c r="M25" s="73"/>
      <c r="N25" s="72"/>
      <c r="O25" s="72"/>
      <c r="P25" s="73"/>
      <c r="Q25" s="73"/>
      <c r="R25" s="72"/>
      <c r="S25" s="72"/>
      <c r="T25" s="73"/>
      <c r="U25" s="73"/>
      <c r="V25" s="72"/>
      <c r="W25" s="72"/>
      <c r="X25" s="72"/>
      <c r="Y25" s="72"/>
      <c r="Z25" s="119">
        <f>B8</f>
        <v>100</v>
      </c>
      <c r="AA25" s="73">
        <f>B8/A2</f>
        <v>33.333333333333336</v>
      </c>
      <c r="AB25" s="119">
        <f>B8</f>
        <v>100</v>
      </c>
      <c r="AC25" s="72">
        <f>B8/A2</f>
        <v>33.333333333333336</v>
      </c>
      <c r="AD25" s="73"/>
      <c r="AE25" s="73"/>
      <c r="AF25" s="72"/>
      <c r="AG25" s="72"/>
      <c r="AH25" s="73"/>
      <c r="AI25" s="106"/>
    </row>
    <row r="26" spans="1:35" ht="12.75">
      <c r="A26" s="4" t="s">
        <v>194</v>
      </c>
      <c r="B26" s="105"/>
      <c r="C26" s="72"/>
      <c r="D26" s="73"/>
      <c r="E26" s="73"/>
      <c r="F26" s="72"/>
      <c r="G26" s="72"/>
      <c r="H26" s="73"/>
      <c r="I26" s="73"/>
      <c r="J26" s="72"/>
      <c r="K26" s="72"/>
      <c r="L26" s="73"/>
      <c r="M26" s="73"/>
      <c r="N26" s="72"/>
      <c r="O26" s="72"/>
      <c r="P26" s="73"/>
      <c r="Q26" s="73"/>
      <c r="R26" s="72"/>
      <c r="S26" s="72"/>
      <c r="T26" s="73"/>
      <c r="U26" s="73"/>
      <c r="V26" s="72"/>
      <c r="W26" s="72"/>
      <c r="X26" s="72"/>
      <c r="Y26" s="72"/>
      <c r="Z26" s="119">
        <f>B9</f>
        <v>12</v>
      </c>
      <c r="AA26" s="73">
        <f>B9/A2</f>
        <v>4</v>
      </c>
      <c r="AB26" s="119">
        <f>B9</f>
        <v>12</v>
      </c>
      <c r="AC26" s="72">
        <f>B9/A2</f>
        <v>4</v>
      </c>
      <c r="AD26" s="73"/>
      <c r="AE26" s="73"/>
      <c r="AF26" s="72"/>
      <c r="AG26" s="72"/>
      <c r="AH26" s="73"/>
      <c r="AI26" s="106"/>
    </row>
    <row r="27" spans="1:35" ht="12.75">
      <c r="A27" s="4" t="s">
        <v>203</v>
      </c>
      <c r="B27" s="105"/>
      <c r="C27" s="72"/>
      <c r="D27" s="73"/>
      <c r="E27" s="73"/>
      <c r="F27" s="72"/>
      <c r="G27" s="72"/>
      <c r="H27" s="119">
        <f>B10</f>
        <v>100</v>
      </c>
      <c r="I27" s="73">
        <f>B10/A2</f>
        <v>33.333333333333336</v>
      </c>
      <c r="J27" s="72"/>
      <c r="K27" s="72"/>
      <c r="L27" s="73"/>
      <c r="M27" s="73"/>
      <c r="N27" s="72"/>
      <c r="O27" s="72"/>
      <c r="P27" s="73"/>
      <c r="Q27" s="73"/>
      <c r="R27" s="72"/>
      <c r="S27" s="72"/>
      <c r="T27" s="73"/>
      <c r="U27" s="73"/>
      <c r="V27" s="72"/>
      <c r="W27" s="72"/>
      <c r="X27" s="72"/>
      <c r="Y27" s="72"/>
      <c r="Z27" s="73"/>
      <c r="AA27" s="73"/>
      <c r="AB27" s="72"/>
      <c r="AC27" s="72"/>
      <c r="AD27" s="73"/>
      <c r="AE27" s="73"/>
      <c r="AF27" s="72"/>
      <c r="AG27" s="72"/>
      <c r="AH27" s="73"/>
      <c r="AI27" s="106"/>
    </row>
    <row r="28" spans="1:35" ht="12.75">
      <c r="A28" s="4" t="s">
        <v>211</v>
      </c>
      <c r="B28" s="105"/>
      <c r="C28" s="72"/>
      <c r="D28" s="73"/>
      <c r="E28" s="73"/>
      <c r="F28" s="72"/>
      <c r="G28" s="72"/>
      <c r="H28" s="73"/>
      <c r="I28" s="73"/>
      <c r="J28" s="72"/>
      <c r="K28" s="72"/>
      <c r="L28" s="73"/>
      <c r="M28" s="73"/>
      <c r="N28" s="72"/>
      <c r="O28" s="72"/>
      <c r="P28" s="73"/>
      <c r="Q28" s="73"/>
      <c r="R28" s="119">
        <f>B12</f>
        <v>50</v>
      </c>
      <c r="S28" s="107">
        <f>R28/A2</f>
        <v>16.666666666666668</v>
      </c>
      <c r="T28" s="73"/>
      <c r="U28" s="73"/>
      <c r="V28" s="72"/>
      <c r="W28" s="72"/>
      <c r="X28" s="72"/>
      <c r="Y28" s="72"/>
      <c r="Z28" s="73"/>
      <c r="AA28" s="73"/>
      <c r="AB28" s="72"/>
      <c r="AC28" s="72"/>
      <c r="AD28" s="73"/>
      <c r="AE28" s="73"/>
      <c r="AF28" s="72"/>
      <c r="AG28" s="72"/>
      <c r="AH28" s="73"/>
      <c r="AI28" s="106"/>
    </row>
    <row r="29" spans="1:35" ht="12.75">
      <c r="A29" s="60" t="s">
        <v>236</v>
      </c>
      <c r="B29" s="105"/>
      <c r="C29" s="72"/>
      <c r="D29" s="73"/>
      <c r="E29" s="73"/>
      <c r="F29" s="72"/>
      <c r="G29" s="72"/>
      <c r="H29" s="73"/>
      <c r="I29" s="73"/>
      <c r="J29" s="72"/>
      <c r="K29" s="72"/>
      <c r="L29" s="73"/>
      <c r="M29" s="73"/>
      <c r="N29" s="72"/>
      <c r="O29" s="72"/>
      <c r="P29" s="73"/>
      <c r="Q29" s="73"/>
      <c r="R29" s="72"/>
      <c r="S29" s="72"/>
      <c r="T29" s="73"/>
      <c r="U29" s="73"/>
      <c r="V29" s="72"/>
      <c r="W29" s="72"/>
      <c r="X29" s="72"/>
      <c r="Y29" s="72"/>
      <c r="Z29" s="73"/>
      <c r="AA29" s="73"/>
      <c r="AB29" s="72"/>
      <c r="AC29" s="72"/>
      <c r="AD29" s="73"/>
      <c r="AE29" s="73"/>
      <c r="AF29" s="119">
        <f>B13</f>
        <v>41</v>
      </c>
      <c r="AG29" s="72">
        <f>B13/A2</f>
        <v>13.666666666666666</v>
      </c>
      <c r="AH29" s="119">
        <f>B13</f>
        <v>41</v>
      </c>
      <c r="AI29" s="106">
        <f>AH29/A2</f>
        <v>13.666666666666666</v>
      </c>
    </row>
    <row r="30" spans="1:35" ht="12.75">
      <c r="A30" s="4"/>
      <c r="B30" s="105"/>
      <c r="C30" s="72"/>
      <c r="D30" s="73"/>
      <c r="E30" s="73"/>
      <c r="F30" s="72"/>
      <c r="G30" s="72"/>
      <c r="H30" s="73"/>
      <c r="I30" s="73"/>
      <c r="J30" s="72"/>
      <c r="K30" s="72"/>
      <c r="L30" s="73"/>
      <c r="M30" s="73"/>
      <c r="N30" s="72"/>
      <c r="O30" s="72"/>
      <c r="P30" s="73"/>
      <c r="Q30" s="73"/>
      <c r="R30" s="72"/>
      <c r="S30" s="72"/>
      <c r="T30" s="73"/>
      <c r="U30" s="73"/>
      <c r="V30" s="72"/>
      <c r="W30" s="72"/>
      <c r="X30" s="72"/>
      <c r="Y30" s="72"/>
      <c r="Z30" s="73"/>
      <c r="AA30" s="73"/>
      <c r="AB30" s="72"/>
      <c r="AC30" s="72"/>
      <c r="AD30" s="73"/>
      <c r="AE30" s="73"/>
      <c r="AF30" s="72"/>
      <c r="AG30" s="72"/>
      <c r="AH30" s="73"/>
      <c r="AI30" s="106"/>
    </row>
    <row r="31" spans="1:35" ht="12.75">
      <c r="A31" s="9" t="s">
        <v>195</v>
      </c>
      <c r="B31" s="121">
        <f>A4*1.075</f>
        <v>161.25</v>
      </c>
      <c r="C31" s="122">
        <f>(A4*1.075)/A2</f>
        <v>53.75</v>
      </c>
      <c r="D31" s="123">
        <f>A4*1.075</f>
        <v>161.25</v>
      </c>
      <c r="E31" s="124">
        <f>(A4*1.075)/A2</f>
        <v>53.75</v>
      </c>
      <c r="F31" s="125">
        <f>A4*1.075</f>
        <v>161.25</v>
      </c>
      <c r="G31" s="122">
        <f>(A4*1.075)/A2</f>
        <v>53.75</v>
      </c>
      <c r="H31" s="123">
        <f>A4*1.075</f>
        <v>161.25</v>
      </c>
      <c r="I31" s="124">
        <f>(A4*1.075)/A2</f>
        <v>53.75</v>
      </c>
      <c r="J31" s="122"/>
      <c r="K31" s="122"/>
      <c r="L31" s="123">
        <f>A4*1.075</f>
        <v>161.25</v>
      </c>
      <c r="M31" s="124">
        <f>(A4*1.075)/A2</f>
        <v>53.75</v>
      </c>
      <c r="N31" s="122">
        <f>A4*1.075</f>
        <v>161.25</v>
      </c>
      <c r="O31" s="122">
        <f>(A4*1.075)/A2</f>
        <v>53.75</v>
      </c>
      <c r="P31" s="123">
        <f>A4*1.075</f>
        <v>161.25</v>
      </c>
      <c r="Q31" s="124">
        <f>(A4*1.075)/A2</f>
        <v>53.75</v>
      </c>
      <c r="R31" s="125">
        <f>A4*1.075</f>
        <v>161.25</v>
      </c>
      <c r="S31" s="122">
        <f>(A4*1.075)/A2</f>
        <v>53.75</v>
      </c>
      <c r="T31" s="123">
        <f>A4*1.075</f>
        <v>161.25</v>
      </c>
      <c r="U31" s="124">
        <f>(A4*1.075)/A2</f>
        <v>53.75</v>
      </c>
      <c r="V31" s="125">
        <f>A4*1.075</f>
        <v>161.25</v>
      </c>
      <c r="W31" s="122">
        <f>(A4*1.075)/A2</f>
        <v>53.75</v>
      </c>
      <c r="X31" s="125">
        <f>A4*1.075</f>
        <v>161.25</v>
      </c>
      <c r="Y31" s="122">
        <f>(A4*1.075)/A2</f>
        <v>53.75</v>
      </c>
      <c r="Z31" s="124">
        <f>A4*1.075</f>
        <v>161.25</v>
      </c>
      <c r="AA31" s="124">
        <f>(A4*1.075)/A2</f>
        <v>53.75</v>
      </c>
      <c r="AB31" s="122">
        <f>A4*1.075</f>
        <v>161.25</v>
      </c>
      <c r="AC31" s="122">
        <f>(A4*1.075)/A2</f>
        <v>53.75</v>
      </c>
      <c r="AD31" s="124"/>
      <c r="AE31" s="124"/>
      <c r="AF31" s="122"/>
      <c r="AG31" s="122"/>
      <c r="AH31" s="124">
        <f>A4*1.075</f>
        <v>161.25</v>
      </c>
      <c r="AI31" s="126">
        <f>(A4*1.075)/A2</f>
        <v>53.75</v>
      </c>
    </row>
    <row r="32" spans="1:35" ht="12.75">
      <c r="A32" s="60" t="s">
        <v>237</v>
      </c>
      <c r="B32" s="105">
        <f aca="true" t="shared" si="2" ref="B32:G32">B31*0.1116</f>
        <v>17.9955</v>
      </c>
      <c r="C32" s="84">
        <f>C31*0.1116</f>
        <v>5.9985</v>
      </c>
      <c r="D32" s="73">
        <f t="shared" si="2"/>
        <v>17.9955</v>
      </c>
      <c r="E32" s="85">
        <f t="shared" si="2"/>
        <v>5.9985</v>
      </c>
      <c r="F32" s="72">
        <f t="shared" si="2"/>
        <v>17.9955</v>
      </c>
      <c r="G32" s="84">
        <f t="shared" si="2"/>
        <v>5.9985</v>
      </c>
      <c r="H32" s="73">
        <f>H31*0.1116</f>
        <v>17.9955</v>
      </c>
      <c r="I32" s="85">
        <f>I31*0.1116</f>
        <v>5.9985</v>
      </c>
      <c r="J32" s="72"/>
      <c r="K32" s="72"/>
      <c r="L32" s="73">
        <f aca="true" t="shared" si="3" ref="L32:AC32">L31*0.1116</f>
        <v>17.9955</v>
      </c>
      <c r="M32" s="85">
        <f t="shared" si="3"/>
        <v>5.9985</v>
      </c>
      <c r="N32" s="72">
        <f t="shared" si="3"/>
        <v>17.9955</v>
      </c>
      <c r="O32" s="84">
        <f t="shared" si="3"/>
        <v>5.9985</v>
      </c>
      <c r="P32" s="73">
        <f t="shared" si="3"/>
        <v>17.9955</v>
      </c>
      <c r="Q32" s="85">
        <f t="shared" si="3"/>
        <v>5.9985</v>
      </c>
      <c r="R32" s="72">
        <f t="shared" si="3"/>
        <v>17.9955</v>
      </c>
      <c r="S32" s="84">
        <f t="shared" si="3"/>
        <v>5.9985</v>
      </c>
      <c r="T32" s="73">
        <f t="shared" si="3"/>
        <v>17.9955</v>
      </c>
      <c r="U32" s="85">
        <f t="shared" si="3"/>
        <v>5.9985</v>
      </c>
      <c r="V32" s="72">
        <f t="shared" si="3"/>
        <v>17.9955</v>
      </c>
      <c r="W32" s="84">
        <f t="shared" si="3"/>
        <v>5.9985</v>
      </c>
      <c r="X32" s="72">
        <f t="shared" si="3"/>
        <v>17.9955</v>
      </c>
      <c r="Y32" s="84">
        <f t="shared" si="3"/>
        <v>5.9985</v>
      </c>
      <c r="Z32" s="73">
        <f t="shared" si="3"/>
        <v>17.9955</v>
      </c>
      <c r="AA32" s="85">
        <f t="shared" si="3"/>
        <v>5.9985</v>
      </c>
      <c r="AB32" s="72">
        <f t="shared" si="3"/>
        <v>17.9955</v>
      </c>
      <c r="AC32" s="84">
        <f t="shared" si="3"/>
        <v>5.9985</v>
      </c>
      <c r="AD32" s="87"/>
      <c r="AE32" s="87"/>
      <c r="AF32" s="72"/>
      <c r="AG32" s="86"/>
      <c r="AH32" s="73">
        <f>AH31*0.1116</f>
        <v>17.9955</v>
      </c>
      <c r="AI32" s="108">
        <f>AI31*0.1116</f>
        <v>5.9985</v>
      </c>
    </row>
    <row r="33" spans="1:35" ht="12.75">
      <c r="A33" s="4" t="s">
        <v>242</v>
      </c>
      <c r="B33" s="105">
        <f aca="true" t="shared" si="4" ref="B33:G33">B31*0.8884</f>
        <v>143.2545</v>
      </c>
      <c r="C33" s="84">
        <f t="shared" si="4"/>
        <v>47.7515</v>
      </c>
      <c r="D33" s="73">
        <f t="shared" si="4"/>
        <v>143.2545</v>
      </c>
      <c r="E33" s="85">
        <f t="shared" si="4"/>
        <v>47.7515</v>
      </c>
      <c r="F33" s="72">
        <f t="shared" si="4"/>
        <v>143.2545</v>
      </c>
      <c r="G33" s="84">
        <f t="shared" si="4"/>
        <v>47.7515</v>
      </c>
      <c r="H33" s="73">
        <f>H31*0.8884</f>
        <v>143.2545</v>
      </c>
      <c r="I33" s="85">
        <f>I31*0.8884</f>
        <v>47.7515</v>
      </c>
      <c r="J33" s="72"/>
      <c r="K33" s="72"/>
      <c r="L33" s="73">
        <f aca="true" t="shared" si="5" ref="L33:AA33">L31*0.8884</f>
        <v>143.2545</v>
      </c>
      <c r="M33" s="85">
        <f t="shared" si="5"/>
        <v>47.7515</v>
      </c>
      <c r="N33" s="72">
        <f t="shared" si="5"/>
        <v>143.2545</v>
      </c>
      <c r="O33" s="84">
        <f t="shared" si="5"/>
        <v>47.7515</v>
      </c>
      <c r="P33" s="73">
        <f t="shared" si="5"/>
        <v>143.2545</v>
      </c>
      <c r="Q33" s="85">
        <f t="shared" si="5"/>
        <v>47.7515</v>
      </c>
      <c r="R33" s="72">
        <f>R31*0.8884</f>
        <v>143.2545</v>
      </c>
      <c r="S33" s="84">
        <f>S31*0.8884</f>
        <v>47.7515</v>
      </c>
      <c r="T33" s="73">
        <f>T31*0.8884</f>
        <v>143.2545</v>
      </c>
      <c r="U33" s="85">
        <f>U31*0.8884</f>
        <v>47.7515</v>
      </c>
      <c r="V33" s="72">
        <f t="shared" si="5"/>
        <v>143.2545</v>
      </c>
      <c r="W33" s="84">
        <f t="shared" si="5"/>
        <v>47.7515</v>
      </c>
      <c r="X33" s="72">
        <f t="shared" si="5"/>
        <v>143.2545</v>
      </c>
      <c r="Y33" s="84">
        <f t="shared" si="5"/>
        <v>47.7515</v>
      </c>
      <c r="Z33" s="73">
        <f t="shared" si="5"/>
        <v>143.2545</v>
      </c>
      <c r="AA33" s="85">
        <f t="shared" si="5"/>
        <v>47.7515</v>
      </c>
      <c r="AB33" s="72">
        <f>AB31*0.8884</f>
        <v>143.2545</v>
      </c>
      <c r="AC33" s="84">
        <f>AC31*0.8884</f>
        <v>47.7515</v>
      </c>
      <c r="AD33" s="87"/>
      <c r="AE33" s="87"/>
      <c r="AF33" s="72"/>
      <c r="AG33" s="86"/>
      <c r="AH33" s="73">
        <f>AH31*0.8884</f>
        <v>143.2545</v>
      </c>
      <c r="AI33" s="108">
        <f>AI31*0.8884</f>
        <v>47.7515</v>
      </c>
    </row>
    <row r="34" spans="1:35" ht="12.75">
      <c r="A34" s="4"/>
      <c r="B34" s="105"/>
      <c r="C34" s="72"/>
      <c r="D34" s="73"/>
      <c r="E34" s="73"/>
      <c r="F34" s="72"/>
      <c r="G34" s="72"/>
      <c r="H34" s="73"/>
      <c r="I34" s="73"/>
      <c r="J34" s="72"/>
      <c r="K34" s="72"/>
      <c r="L34" s="73"/>
      <c r="M34" s="73"/>
      <c r="N34" s="72"/>
      <c r="O34" s="72"/>
      <c r="P34" s="73"/>
      <c r="Q34" s="73"/>
      <c r="R34" s="72"/>
      <c r="S34" s="72"/>
      <c r="T34" s="73"/>
      <c r="U34" s="73"/>
      <c r="V34" s="72"/>
      <c r="W34" s="72"/>
      <c r="X34" s="72"/>
      <c r="Y34" s="72"/>
      <c r="Z34" s="73"/>
      <c r="AA34" s="73"/>
      <c r="AB34" s="72"/>
      <c r="AC34" s="72"/>
      <c r="AD34" s="73"/>
      <c r="AE34" s="73"/>
      <c r="AF34" s="72"/>
      <c r="AG34" s="72"/>
      <c r="AH34" s="73"/>
      <c r="AI34" s="106"/>
    </row>
    <row r="35" spans="1:35" ht="12.75">
      <c r="A35" s="57" t="s">
        <v>180</v>
      </c>
      <c r="B35" s="105">
        <f>A4</f>
        <v>150</v>
      </c>
      <c r="C35" s="72">
        <f>A4/A2</f>
        <v>50</v>
      </c>
      <c r="D35" s="73">
        <f>A4</f>
        <v>150</v>
      </c>
      <c r="E35" s="73">
        <f>A4/A2</f>
        <v>50</v>
      </c>
      <c r="F35" s="72">
        <f>A4</f>
        <v>150</v>
      </c>
      <c r="G35" s="72">
        <f>A4/A2</f>
        <v>50</v>
      </c>
      <c r="H35" s="73">
        <f>A4</f>
        <v>150</v>
      </c>
      <c r="I35" s="73">
        <f>A4/A2</f>
        <v>50</v>
      </c>
      <c r="J35" s="72"/>
      <c r="K35" s="72"/>
      <c r="L35" s="73">
        <f>A4</f>
        <v>150</v>
      </c>
      <c r="M35" s="73">
        <f>A4/A2</f>
        <v>50</v>
      </c>
      <c r="N35" s="72">
        <f>A4</f>
        <v>150</v>
      </c>
      <c r="O35" s="72">
        <f>A4/A2</f>
        <v>50</v>
      </c>
      <c r="P35" s="73">
        <f>A4</f>
        <v>150</v>
      </c>
      <c r="Q35" s="73">
        <f>A4/A2</f>
        <v>50</v>
      </c>
      <c r="R35" s="72">
        <f>A4</f>
        <v>150</v>
      </c>
      <c r="S35" s="88">
        <f>A4/A2</f>
        <v>50</v>
      </c>
      <c r="T35" s="73">
        <f>A4</f>
        <v>150</v>
      </c>
      <c r="U35" s="89">
        <f>A4/A2</f>
        <v>50</v>
      </c>
      <c r="V35" s="72">
        <f>A4</f>
        <v>150</v>
      </c>
      <c r="W35" s="72">
        <f>A4/A2</f>
        <v>50</v>
      </c>
      <c r="X35" s="72">
        <f>A4</f>
        <v>150</v>
      </c>
      <c r="Y35" s="72">
        <f>A4/A2</f>
        <v>50</v>
      </c>
      <c r="Z35" s="73">
        <f>A4</f>
        <v>150</v>
      </c>
      <c r="AA35" s="73">
        <f>A4/A2</f>
        <v>50</v>
      </c>
      <c r="AB35" s="72">
        <f>A4</f>
        <v>150</v>
      </c>
      <c r="AC35" s="72">
        <f>A4/A2</f>
        <v>50</v>
      </c>
      <c r="AD35" s="73"/>
      <c r="AE35" s="73"/>
      <c r="AF35" s="72"/>
      <c r="AG35" s="72"/>
      <c r="AH35" s="73">
        <f>A4</f>
        <v>150</v>
      </c>
      <c r="AI35" s="106">
        <f>A4/A2</f>
        <v>50</v>
      </c>
    </row>
    <row r="36" spans="1:35" ht="12.75">
      <c r="A36" s="7" t="s">
        <v>4</v>
      </c>
      <c r="B36" s="105"/>
      <c r="C36" s="72"/>
      <c r="D36" s="73"/>
      <c r="E36" s="73"/>
      <c r="F36" s="72"/>
      <c r="G36" s="72"/>
      <c r="H36" s="73"/>
      <c r="I36" s="73"/>
      <c r="J36" s="72"/>
      <c r="K36" s="72"/>
      <c r="L36" s="73"/>
      <c r="M36" s="73"/>
      <c r="N36" s="72"/>
      <c r="O36" s="72"/>
      <c r="P36" s="73"/>
      <c r="Q36" s="73"/>
      <c r="R36" s="72"/>
      <c r="S36" s="72"/>
      <c r="T36" s="73"/>
      <c r="U36" s="73"/>
      <c r="V36" s="72"/>
      <c r="W36" s="72"/>
      <c r="X36" s="72"/>
      <c r="Y36" s="72"/>
      <c r="Z36" s="73"/>
      <c r="AA36" s="73"/>
      <c r="AB36" s="72"/>
      <c r="AC36" s="72"/>
      <c r="AD36" s="73"/>
      <c r="AE36" s="73"/>
      <c r="AF36" s="72"/>
      <c r="AG36" s="72"/>
      <c r="AH36" s="73"/>
      <c r="AI36" s="106"/>
    </row>
    <row r="37" spans="1:35" ht="12.75">
      <c r="A37" s="4" t="s">
        <v>0</v>
      </c>
      <c r="B37" s="105"/>
      <c r="C37" s="72"/>
      <c r="D37" s="73"/>
      <c r="E37" s="73"/>
      <c r="F37" s="72"/>
      <c r="G37" s="72"/>
      <c r="H37" s="73"/>
      <c r="I37" s="73"/>
      <c r="J37" s="119">
        <f>J18/4</f>
        <v>37.5</v>
      </c>
      <c r="K37" s="72">
        <f>(A4*0.25)/A2</f>
        <v>12.5</v>
      </c>
      <c r="L37" s="73"/>
      <c r="M37" s="73"/>
      <c r="N37" s="72"/>
      <c r="O37" s="72"/>
      <c r="P37" s="73"/>
      <c r="Q37" s="73"/>
      <c r="R37" s="72"/>
      <c r="S37" s="72"/>
      <c r="T37" s="73"/>
      <c r="U37" s="73"/>
      <c r="V37" s="72"/>
      <c r="W37" s="72"/>
      <c r="X37" s="72"/>
      <c r="Y37" s="72"/>
      <c r="Z37" s="73"/>
      <c r="AA37" s="73"/>
      <c r="AB37" s="72"/>
      <c r="AC37" s="72"/>
      <c r="AD37" s="73"/>
      <c r="AE37" s="73"/>
      <c r="AF37" s="72"/>
      <c r="AG37" s="72"/>
      <c r="AH37" s="73"/>
      <c r="AI37" s="106"/>
    </row>
    <row r="38" spans="1:35" ht="12.75">
      <c r="A38" s="60" t="s">
        <v>238</v>
      </c>
      <c r="B38" s="105">
        <f>A4</f>
        <v>150</v>
      </c>
      <c r="C38" s="72">
        <f>A4/A2</f>
        <v>50</v>
      </c>
      <c r="D38" s="73">
        <f aca="true" t="shared" si="6" ref="D38:I38">D35</f>
        <v>150</v>
      </c>
      <c r="E38" s="73">
        <f t="shared" si="6"/>
        <v>50</v>
      </c>
      <c r="F38" s="72">
        <f t="shared" si="6"/>
        <v>150</v>
      </c>
      <c r="G38" s="72">
        <f t="shared" si="6"/>
        <v>50</v>
      </c>
      <c r="H38" s="73">
        <f t="shared" si="6"/>
        <v>150</v>
      </c>
      <c r="I38" s="73">
        <f t="shared" si="6"/>
        <v>50</v>
      </c>
      <c r="J38" s="119">
        <f>J18/4</f>
        <v>37.5</v>
      </c>
      <c r="K38" s="72">
        <f>(A4*0.25)/A2</f>
        <v>12.5</v>
      </c>
      <c r="L38" s="73"/>
      <c r="M38" s="73"/>
      <c r="N38" s="72">
        <f>A4/2</f>
        <v>75</v>
      </c>
      <c r="O38" s="72">
        <f>(A4/2)/A2</f>
        <v>25</v>
      </c>
      <c r="P38" s="73"/>
      <c r="Q38" s="73"/>
      <c r="R38" s="72">
        <f>R35*0.25</f>
        <v>37.5</v>
      </c>
      <c r="S38" s="72">
        <f>S35*0.25</f>
        <v>12.5</v>
      </c>
      <c r="T38" s="73">
        <f>T35*0.25</f>
        <v>37.5</v>
      </c>
      <c r="U38" s="73">
        <f>U35*0.25</f>
        <v>12.5</v>
      </c>
      <c r="V38" s="72"/>
      <c r="W38" s="72"/>
      <c r="X38" s="72">
        <f>A4*0.25</f>
        <v>37.5</v>
      </c>
      <c r="Y38" s="72">
        <f>(A4*0.25)/A2</f>
        <v>12.5</v>
      </c>
      <c r="Z38" s="73">
        <f>A4</f>
        <v>150</v>
      </c>
      <c r="AA38" s="73">
        <f>A4/A2</f>
        <v>50</v>
      </c>
      <c r="AB38" s="72">
        <f>AB35-AB46</f>
        <v>50</v>
      </c>
      <c r="AC38" s="72">
        <f>AC35-AC46</f>
        <v>16.666666666666664</v>
      </c>
      <c r="AD38" s="119">
        <f>A4</f>
        <v>150</v>
      </c>
      <c r="AE38" s="73">
        <f>A4/A2</f>
        <v>50</v>
      </c>
      <c r="AF38" s="72"/>
      <c r="AG38" s="72"/>
      <c r="AH38" s="73">
        <f>A4</f>
        <v>150</v>
      </c>
      <c r="AI38" s="106">
        <f>A4/A2</f>
        <v>50</v>
      </c>
    </row>
    <row r="39" spans="1:35" ht="12.75">
      <c r="A39" s="7" t="s">
        <v>1</v>
      </c>
      <c r="B39" s="105"/>
      <c r="C39" s="72"/>
      <c r="D39" s="73"/>
      <c r="E39" s="73"/>
      <c r="F39" s="72"/>
      <c r="G39" s="72"/>
      <c r="H39" s="73"/>
      <c r="I39" s="73"/>
      <c r="J39" s="119">
        <f>J18/4</f>
        <v>37.5</v>
      </c>
      <c r="K39" s="72">
        <f>(A4*0.25)/A2</f>
        <v>12.5</v>
      </c>
      <c r="L39" s="73"/>
      <c r="M39" s="73"/>
      <c r="N39" s="72"/>
      <c r="O39" s="72"/>
      <c r="P39" s="73"/>
      <c r="Q39" s="73"/>
      <c r="R39" s="72"/>
      <c r="S39" s="72"/>
      <c r="T39" s="73"/>
      <c r="U39" s="73"/>
      <c r="V39" s="72"/>
      <c r="W39" s="72"/>
      <c r="X39" s="72"/>
      <c r="Y39" s="72"/>
      <c r="Z39" s="73"/>
      <c r="AA39" s="73"/>
      <c r="AB39" s="72"/>
      <c r="AC39" s="72"/>
      <c r="AD39" s="73"/>
      <c r="AE39" s="73"/>
      <c r="AF39" s="72"/>
      <c r="AG39" s="72"/>
      <c r="AH39" s="73"/>
      <c r="AI39" s="106"/>
    </row>
    <row r="40" spans="1:35" ht="12.75">
      <c r="A40" s="4" t="s">
        <v>2</v>
      </c>
      <c r="B40" s="105"/>
      <c r="C40" s="72"/>
      <c r="D40" s="73"/>
      <c r="E40" s="73"/>
      <c r="F40" s="72"/>
      <c r="G40" s="72"/>
      <c r="H40" s="73"/>
      <c r="I40" s="73"/>
      <c r="J40" s="119">
        <f>J18/4</f>
        <v>37.5</v>
      </c>
      <c r="K40" s="72">
        <f>(A4*0.25)/A2</f>
        <v>12.5</v>
      </c>
      <c r="L40" s="73"/>
      <c r="M40" s="73"/>
      <c r="N40" s="72"/>
      <c r="O40" s="72"/>
      <c r="P40" s="73"/>
      <c r="Q40" s="73"/>
      <c r="R40" s="72"/>
      <c r="S40" s="72"/>
      <c r="T40" s="73"/>
      <c r="U40" s="73"/>
      <c r="V40" s="72"/>
      <c r="W40" s="72"/>
      <c r="X40" s="72"/>
      <c r="Y40" s="72"/>
      <c r="Z40" s="73"/>
      <c r="AA40" s="73"/>
      <c r="AB40" s="72"/>
      <c r="AC40" s="72"/>
      <c r="AD40" s="73"/>
      <c r="AE40" s="73"/>
      <c r="AF40" s="72"/>
      <c r="AG40" s="72"/>
      <c r="AH40" s="73"/>
      <c r="AI40" s="106"/>
    </row>
    <row r="41" spans="1:35" ht="12.75">
      <c r="A41" s="4" t="s">
        <v>3</v>
      </c>
      <c r="B41" s="105"/>
      <c r="C41" s="72"/>
      <c r="D41" s="73"/>
      <c r="E41" s="73"/>
      <c r="F41" s="72"/>
      <c r="G41" s="72"/>
      <c r="H41" s="73"/>
      <c r="I41" s="73"/>
      <c r="J41" s="72"/>
      <c r="K41" s="72"/>
      <c r="L41" s="119">
        <f>A4</f>
        <v>150</v>
      </c>
      <c r="M41" s="73">
        <f>A4/A2</f>
        <v>50</v>
      </c>
      <c r="N41" s="72"/>
      <c r="O41" s="72"/>
      <c r="P41" s="73"/>
      <c r="Q41" s="73"/>
      <c r="R41" s="72"/>
      <c r="S41" s="72"/>
      <c r="T41" s="73"/>
      <c r="U41" s="73"/>
      <c r="V41" s="72"/>
      <c r="W41" s="72"/>
      <c r="X41" s="72"/>
      <c r="Y41" s="72"/>
      <c r="Z41" s="73"/>
      <c r="AA41" s="73"/>
      <c r="AB41" s="72"/>
      <c r="AC41" s="72"/>
      <c r="AD41" s="73"/>
      <c r="AE41" s="73"/>
      <c r="AF41" s="72"/>
      <c r="AG41" s="72"/>
      <c r="AH41" s="73"/>
      <c r="AI41" s="106"/>
    </row>
    <row r="42" spans="1:35" ht="12.75">
      <c r="A42" s="4" t="s">
        <v>17</v>
      </c>
      <c r="B42" s="105"/>
      <c r="C42" s="72"/>
      <c r="D42" s="73"/>
      <c r="E42" s="73"/>
      <c r="F42" s="72"/>
      <c r="G42" s="72"/>
      <c r="H42" s="73"/>
      <c r="I42" s="73"/>
      <c r="J42" s="72"/>
      <c r="K42" s="72"/>
      <c r="L42" s="73"/>
      <c r="M42" s="73"/>
      <c r="N42" s="119">
        <f>A4/2</f>
        <v>75</v>
      </c>
      <c r="O42" s="72">
        <f>(A4/2)/A2</f>
        <v>25</v>
      </c>
      <c r="P42" s="73"/>
      <c r="Q42" s="73"/>
      <c r="R42" s="72"/>
      <c r="S42" s="72"/>
      <c r="T42" s="73"/>
      <c r="U42" s="73"/>
      <c r="V42" s="72"/>
      <c r="W42" s="72"/>
      <c r="X42" s="72"/>
      <c r="Y42" s="72"/>
      <c r="Z42" s="73"/>
      <c r="AA42" s="73"/>
      <c r="AB42" s="72"/>
      <c r="AC42" s="72"/>
      <c r="AD42" s="73"/>
      <c r="AE42" s="73"/>
      <c r="AF42" s="72"/>
      <c r="AG42" s="72"/>
      <c r="AH42" s="73"/>
      <c r="AI42" s="106"/>
    </row>
    <row r="43" spans="1:35" ht="12.75">
      <c r="A43" s="5" t="s">
        <v>18</v>
      </c>
      <c r="B43" s="105"/>
      <c r="C43" s="72"/>
      <c r="D43" s="73"/>
      <c r="E43" s="73"/>
      <c r="F43" s="72"/>
      <c r="G43" s="72"/>
      <c r="H43" s="73"/>
      <c r="I43" s="73"/>
      <c r="J43" s="72"/>
      <c r="K43" s="72"/>
      <c r="L43" s="73"/>
      <c r="M43" s="73"/>
      <c r="N43" s="72"/>
      <c r="O43" s="72"/>
      <c r="P43" s="119">
        <f>A4</f>
        <v>150</v>
      </c>
      <c r="Q43" s="73">
        <f>A4/A2</f>
        <v>50</v>
      </c>
      <c r="R43" s="72">
        <f>R35*0.75</f>
        <v>112.5</v>
      </c>
      <c r="S43" s="72">
        <f>S35*0.75</f>
        <v>37.5</v>
      </c>
      <c r="T43" s="119">
        <f>T35*0.75</f>
        <v>112.5</v>
      </c>
      <c r="U43" s="73">
        <f>U35*0.75</f>
        <v>37.5</v>
      </c>
      <c r="V43" s="72"/>
      <c r="W43" s="72"/>
      <c r="X43" s="72"/>
      <c r="Y43" s="72"/>
      <c r="Z43" s="73"/>
      <c r="AA43" s="73"/>
      <c r="AB43" s="72"/>
      <c r="AC43" s="72"/>
      <c r="AD43" s="73"/>
      <c r="AE43" s="73"/>
      <c r="AF43" s="72"/>
      <c r="AG43" s="72"/>
      <c r="AH43" s="73"/>
      <c r="AI43" s="106"/>
    </row>
    <row r="44" spans="1:35" ht="12.75">
      <c r="A44" s="5" t="s">
        <v>5</v>
      </c>
      <c r="B44" s="105"/>
      <c r="C44" s="72"/>
      <c r="D44" s="73"/>
      <c r="E44" s="73"/>
      <c r="F44" s="72"/>
      <c r="G44" s="72"/>
      <c r="H44" s="73"/>
      <c r="I44" s="73"/>
      <c r="J44" s="72"/>
      <c r="K44" s="72"/>
      <c r="L44" s="73"/>
      <c r="M44" s="73"/>
      <c r="N44" s="72"/>
      <c r="O44" s="72"/>
      <c r="P44" s="73"/>
      <c r="Q44" s="73"/>
      <c r="R44" s="72"/>
      <c r="S44" s="72"/>
      <c r="T44" s="73"/>
      <c r="U44" s="73"/>
      <c r="V44" s="119">
        <f>A4</f>
        <v>150</v>
      </c>
      <c r="W44" s="72">
        <f>A4/A2</f>
        <v>50</v>
      </c>
      <c r="X44" s="72"/>
      <c r="Y44" s="72"/>
      <c r="Z44" s="73"/>
      <c r="AA44" s="73"/>
      <c r="AB44" s="72"/>
      <c r="AC44" s="72"/>
      <c r="AD44" s="73"/>
      <c r="AE44" s="73"/>
      <c r="AF44" s="72"/>
      <c r="AG44" s="72"/>
      <c r="AH44" s="73"/>
      <c r="AI44" s="106"/>
    </row>
    <row r="45" spans="1:35" ht="12.75">
      <c r="A45" s="5" t="s">
        <v>6</v>
      </c>
      <c r="B45" s="105"/>
      <c r="C45" s="72"/>
      <c r="D45" s="73"/>
      <c r="E45" s="73"/>
      <c r="F45" s="72"/>
      <c r="G45" s="72"/>
      <c r="H45" s="73"/>
      <c r="I45" s="73"/>
      <c r="J45" s="72"/>
      <c r="K45" s="72"/>
      <c r="L45" s="73"/>
      <c r="M45" s="73"/>
      <c r="N45" s="72"/>
      <c r="O45" s="72"/>
      <c r="P45" s="73"/>
      <c r="Q45" s="73"/>
      <c r="R45" s="72"/>
      <c r="S45" s="72"/>
      <c r="T45" s="73"/>
      <c r="U45" s="73"/>
      <c r="V45" s="72"/>
      <c r="W45" s="72"/>
      <c r="X45" s="119">
        <f>A4*0.75</f>
        <v>112.5</v>
      </c>
      <c r="Y45" s="72">
        <f>(A4*0.75)/A2</f>
        <v>37.5</v>
      </c>
      <c r="Z45" s="73"/>
      <c r="AA45" s="73"/>
      <c r="AB45" s="72"/>
      <c r="AC45" s="72"/>
      <c r="AD45" s="73"/>
      <c r="AE45" s="73"/>
      <c r="AF45" s="72"/>
      <c r="AG45" s="72"/>
      <c r="AH45" s="73"/>
      <c r="AI45" s="106"/>
    </row>
    <row r="46" spans="1:35" ht="12.75">
      <c r="A46" s="5" t="s">
        <v>213</v>
      </c>
      <c r="B46" s="105"/>
      <c r="C46" s="72"/>
      <c r="D46" s="73"/>
      <c r="E46" s="73"/>
      <c r="F46" s="72"/>
      <c r="G46" s="72"/>
      <c r="H46" s="73"/>
      <c r="I46" s="73"/>
      <c r="J46" s="72"/>
      <c r="K46" s="72"/>
      <c r="L46" s="73"/>
      <c r="M46" s="73"/>
      <c r="N46" s="72"/>
      <c r="O46" s="72"/>
      <c r="P46" s="73"/>
      <c r="Q46" s="73"/>
      <c r="R46" s="72"/>
      <c r="S46" s="72"/>
      <c r="T46" s="73"/>
      <c r="U46" s="73"/>
      <c r="V46" s="72"/>
      <c r="W46" s="72"/>
      <c r="X46" s="72"/>
      <c r="Y46" s="72"/>
      <c r="Z46" s="119"/>
      <c r="AA46" s="73"/>
      <c r="AB46" s="120">
        <v>100</v>
      </c>
      <c r="AC46" s="107">
        <f>AB46/A2</f>
        <v>33.333333333333336</v>
      </c>
      <c r="AD46" s="73"/>
      <c r="AE46" s="73"/>
      <c r="AF46" s="72"/>
      <c r="AG46" s="72"/>
      <c r="AH46" s="73"/>
      <c r="AI46" s="106"/>
    </row>
  </sheetData>
  <sheetProtection sheet="1" objects="1" scenarios="1"/>
  <mergeCells count="19">
    <mergeCell ref="AH15:AI15"/>
    <mergeCell ref="Z15:AA15"/>
    <mergeCell ref="AB15:AC15"/>
    <mergeCell ref="AD15:AE15"/>
    <mergeCell ref="AF15:AG15"/>
    <mergeCell ref="R15:S15"/>
    <mergeCell ref="T15:U15"/>
    <mergeCell ref="V15:W15"/>
    <mergeCell ref="X15:Y15"/>
    <mergeCell ref="Z14:AA14"/>
    <mergeCell ref="AB14:AC14"/>
    <mergeCell ref="B15:C15"/>
    <mergeCell ref="D15:E15"/>
    <mergeCell ref="F15:G15"/>
    <mergeCell ref="H15:I15"/>
    <mergeCell ref="J15:K15"/>
    <mergeCell ref="L15:M15"/>
    <mergeCell ref="N15:O15"/>
    <mergeCell ref="P15:Q15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zoomScale="75" zoomScaleNormal="75" workbookViewId="0" topLeftCell="A48">
      <selection activeCell="G67" sqref="G67"/>
    </sheetView>
  </sheetViews>
  <sheetFormatPr defaultColWidth="9.140625" defaultRowHeight="12.75"/>
  <cols>
    <col min="1" max="1" width="44.28125" style="0" customWidth="1"/>
    <col min="2" max="3" width="9.8515625" style="0" customWidth="1"/>
    <col min="4" max="4" width="10.57421875" style="0" customWidth="1"/>
    <col min="5" max="5" width="12.57421875" style="0" customWidth="1"/>
    <col min="6" max="6" width="12.7109375" style="0" customWidth="1"/>
    <col min="7" max="7" width="12.28125" style="0" customWidth="1"/>
    <col min="8" max="8" width="11.7109375" style="0" customWidth="1"/>
    <col min="9" max="9" width="13.00390625" style="0" customWidth="1"/>
    <col min="10" max="10" width="13.28125" style="0" customWidth="1"/>
    <col min="11" max="11" width="15.7109375" style="0" customWidth="1"/>
    <col min="12" max="12" width="13.8515625" style="0" customWidth="1"/>
    <col min="13" max="13" width="14.00390625" style="0" customWidth="1"/>
    <col min="14" max="14" width="15.140625" style="0" customWidth="1"/>
    <col min="15" max="15" width="14.8515625" style="0" customWidth="1"/>
    <col min="16" max="16" width="12.421875" style="0" customWidth="1"/>
    <col min="17" max="17" width="13.8515625" style="0" customWidth="1"/>
    <col min="18" max="18" width="12.7109375" style="0" customWidth="1"/>
    <col min="19" max="19" width="14.7109375" style="0" customWidth="1"/>
    <col min="20" max="20" width="15.7109375" style="0" customWidth="1"/>
    <col min="21" max="16384" width="11.00390625" style="0" customWidth="1"/>
  </cols>
  <sheetData>
    <row r="1" spans="1:15" ht="13.5" customHeight="1" thickTop="1">
      <c r="A1" s="141"/>
      <c r="B1" s="214" t="s">
        <v>258</v>
      </c>
      <c r="C1" s="193"/>
      <c r="D1" s="193"/>
      <c r="E1" s="215"/>
      <c r="F1" s="210" t="s">
        <v>251</v>
      </c>
      <c r="G1" s="211"/>
      <c r="H1" s="193" t="s">
        <v>106</v>
      </c>
      <c r="I1" s="193" t="s">
        <v>105</v>
      </c>
      <c r="J1" s="193" t="s">
        <v>104</v>
      </c>
      <c r="K1" s="212" t="s">
        <v>107</v>
      </c>
      <c r="L1" s="200" t="s">
        <v>132</v>
      </c>
      <c r="M1" s="193" t="s">
        <v>136</v>
      </c>
      <c r="N1" s="193" t="s">
        <v>159</v>
      </c>
      <c r="O1" s="212" t="s">
        <v>158</v>
      </c>
    </row>
    <row r="2" spans="1:15" ht="28.5" customHeight="1" thickBot="1">
      <c r="A2" s="134" t="s">
        <v>103</v>
      </c>
      <c r="B2" s="137" t="s">
        <v>262</v>
      </c>
      <c r="C2" s="135" t="s">
        <v>261</v>
      </c>
      <c r="D2" s="135" t="s">
        <v>260</v>
      </c>
      <c r="E2" s="138" t="s">
        <v>259</v>
      </c>
      <c r="F2" s="139" t="s">
        <v>250</v>
      </c>
      <c r="G2" s="140" t="s">
        <v>252</v>
      </c>
      <c r="H2" s="194"/>
      <c r="I2" s="194"/>
      <c r="J2" s="194"/>
      <c r="K2" s="213"/>
      <c r="L2" s="201"/>
      <c r="M2" s="194"/>
      <c r="N2" s="194"/>
      <c r="O2" s="213"/>
    </row>
    <row r="3" spans="1:15" ht="12.75">
      <c r="A3" s="39" t="s">
        <v>108</v>
      </c>
      <c r="B3" s="40" t="s">
        <v>109</v>
      </c>
      <c r="C3" s="40" t="s">
        <v>109</v>
      </c>
      <c r="D3" s="40" t="s">
        <v>109</v>
      </c>
      <c r="E3" s="40" t="s">
        <v>109</v>
      </c>
      <c r="F3" s="40" t="s">
        <v>284</v>
      </c>
      <c r="G3" s="163" t="s">
        <v>140</v>
      </c>
      <c r="H3" s="40" t="s">
        <v>116</v>
      </c>
      <c r="I3" s="40" t="s">
        <v>110</v>
      </c>
      <c r="J3" s="40" t="s">
        <v>286</v>
      </c>
      <c r="K3" s="41" t="s">
        <v>117</v>
      </c>
      <c r="L3" s="163" t="s">
        <v>139</v>
      </c>
      <c r="M3" s="40" t="s">
        <v>146</v>
      </c>
      <c r="N3" s="40" t="s">
        <v>287</v>
      </c>
      <c r="O3" s="41" t="s">
        <v>166</v>
      </c>
    </row>
    <row r="4" spans="1:15" ht="13.5" thickBot="1">
      <c r="A4" s="42" t="s">
        <v>118</v>
      </c>
      <c r="B4" s="43" t="s">
        <v>109</v>
      </c>
      <c r="C4" s="43" t="s">
        <v>109</v>
      </c>
      <c r="D4" s="43" t="s">
        <v>109</v>
      </c>
      <c r="E4" s="43" t="s">
        <v>109</v>
      </c>
      <c r="F4" s="43" t="s">
        <v>285</v>
      </c>
      <c r="G4" s="164" t="s">
        <v>149</v>
      </c>
      <c r="H4" s="43" t="s">
        <v>116</v>
      </c>
      <c r="I4" s="43" t="s">
        <v>120</v>
      </c>
      <c r="J4" s="43" t="s">
        <v>119</v>
      </c>
      <c r="K4" s="44" t="s">
        <v>120</v>
      </c>
      <c r="L4" s="63" t="s">
        <v>120</v>
      </c>
      <c r="M4" s="43" t="s">
        <v>120</v>
      </c>
      <c r="N4" s="43" t="s">
        <v>150</v>
      </c>
      <c r="O4" s="44" t="s">
        <v>166</v>
      </c>
    </row>
    <row r="5" spans="1:15" ht="12.75">
      <c r="A5" s="39" t="s">
        <v>121</v>
      </c>
      <c r="B5" s="45">
        <v>76.5</v>
      </c>
      <c r="C5" s="45">
        <v>128</v>
      </c>
      <c r="D5" s="45">
        <v>180</v>
      </c>
      <c r="E5" s="45">
        <v>350</v>
      </c>
      <c r="F5" s="131">
        <v>25</v>
      </c>
      <c r="G5" s="131">
        <v>25</v>
      </c>
      <c r="H5" s="45">
        <v>375</v>
      </c>
      <c r="I5" s="45">
        <v>150</v>
      </c>
      <c r="J5" s="45">
        <v>135</v>
      </c>
      <c r="K5" s="130">
        <v>150</v>
      </c>
      <c r="L5" s="159">
        <v>150</v>
      </c>
      <c r="M5" s="45">
        <v>150</v>
      </c>
      <c r="N5" s="45">
        <v>150</v>
      </c>
      <c r="O5" s="46">
        <v>325</v>
      </c>
    </row>
    <row r="6" spans="1:15" ht="12.75">
      <c r="A6" s="47" t="s">
        <v>122</v>
      </c>
      <c r="B6" s="45">
        <f>((B5-25)/2.075)*1</f>
        <v>24.819277108433734</v>
      </c>
      <c r="C6" s="45">
        <f>((C5-25)/2.075)*1</f>
        <v>49.63855421686747</v>
      </c>
      <c r="D6" s="45">
        <f>((D5-25)/2.075)*1</f>
        <v>74.69879518072288</v>
      </c>
      <c r="E6" s="45">
        <f>((E5-25)/2.075)*1</f>
        <v>156.6265060240964</v>
      </c>
      <c r="F6" s="131">
        <f>F5</f>
        <v>25</v>
      </c>
      <c r="G6" s="131">
        <f>G5</f>
        <v>25</v>
      </c>
      <c r="H6" s="45">
        <f>((H5-25)/2.075)*1</f>
        <v>168.67469879518072</v>
      </c>
      <c r="I6" s="45">
        <f>((I5-25)/2.075)*1</f>
        <v>60.24096385542168</v>
      </c>
      <c r="J6" s="45">
        <f>((J5-25)/2.075)*1</f>
        <v>53.01204819277108</v>
      </c>
      <c r="K6" s="130">
        <f>((K5-25)/2.075)*1</f>
        <v>60.24096385542168</v>
      </c>
      <c r="L6" s="130">
        <f>((L5-25)/207.5)*100</f>
        <v>60.24096385542169</v>
      </c>
      <c r="M6" s="45">
        <f>((M5-25)/207.5)*100</f>
        <v>60.24096385542169</v>
      </c>
      <c r="N6" s="45">
        <f>((N5-25)/207.5)*100</f>
        <v>60.24096385542169</v>
      </c>
      <c r="O6" s="46">
        <f>((O5-25)/207.5)*100</f>
        <v>144.57831325301206</v>
      </c>
    </row>
    <row r="7" spans="1:15" ht="12.75">
      <c r="A7" s="47" t="s">
        <v>123</v>
      </c>
      <c r="B7" s="45">
        <f>B6*0.12</f>
        <v>2.978313253012048</v>
      </c>
      <c r="C7" s="45">
        <f>C6*0.12</f>
        <v>5.956626506024096</v>
      </c>
      <c r="D7" s="45">
        <f>D6*0.12</f>
        <v>8.963855421686745</v>
      </c>
      <c r="E7" s="45">
        <f>E6*0.12</f>
        <v>18.795180722891565</v>
      </c>
      <c r="F7" s="131">
        <v>0</v>
      </c>
      <c r="G7" s="131">
        <v>0</v>
      </c>
      <c r="H7" s="45">
        <f aca="true" t="shared" si="0" ref="H7:O7">H6*0.12</f>
        <v>20.240963855421686</v>
      </c>
      <c r="I7" s="45">
        <f t="shared" si="0"/>
        <v>7.228915662650602</v>
      </c>
      <c r="J7" s="45">
        <f t="shared" si="0"/>
        <v>6.361445783132529</v>
      </c>
      <c r="K7" s="130">
        <f t="shared" si="0"/>
        <v>7.228915662650602</v>
      </c>
      <c r="L7" s="130">
        <f t="shared" si="0"/>
        <v>7.228915662650603</v>
      </c>
      <c r="M7" s="45">
        <f t="shared" si="0"/>
        <v>7.228915662650603</v>
      </c>
      <c r="N7" s="45">
        <f t="shared" si="0"/>
        <v>7.228915662650603</v>
      </c>
      <c r="O7" s="46">
        <f t="shared" si="0"/>
        <v>17.349397590361445</v>
      </c>
    </row>
    <row r="8" spans="1:15" ht="12.75">
      <c r="A8" s="47" t="s">
        <v>124</v>
      </c>
      <c r="B8" s="45">
        <f>B6*0.88</f>
        <v>21.840963855421688</v>
      </c>
      <c r="C8" s="45">
        <f>C6*0.88</f>
        <v>43.681927710843375</v>
      </c>
      <c r="D8" s="45">
        <f>D6*0.88</f>
        <v>65.73493975903614</v>
      </c>
      <c r="E8" s="45">
        <f>E6*0.88</f>
        <v>137.83132530120483</v>
      </c>
      <c r="F8" s="131">
        <v>0</v>
      </c>
      <c r="G8" s="131">
        <v>0</v>
      </c>
      <c r="H8" s="45">
        <f>H6*0.88</f>
        <v>148.43373493975903</v>
      </c>
      <c r="I8" s="45">
        <f aca="true" t="shared" si="1" ref="I8:O8">I6*0.88</f>
        <v>53.01204819277108</v>
      </c>
      <c r="J8" s="45">
        <f>J6*0.88</f>
        <v>46.65060240963855</v>
      </c>
      <c r="K8" s="130">
        <f t="shared" si="1"/>
        <v>53.01204819277108</v>
      </c>
      <c r="L8" s="130">
        <f t="shared" si="1"/>
        <v>53.01204819277109</v>
      </c>
      <c r="M8" s="45">
        <f t="shared" si="1"/>
        <v>53.01204819277109</v>
      </c>
      <c r="N8" s="45">
        <f t="shared" si="1"/>
        <v>53.01204819277109</v>
      </c>
      <c r="O8" s="46">
        <f t="shared" si="1"/>
        <v>127.2289156626506</v>
      </c>
    </row>
    <row r="9" spans="1:15" ht="12.75">
      <c r="A9" s="47" t="s">
        <v>125</v>
      </c>
      <c r="B9" s="45">
        <f>B6*0.075</f>
        <v>1.86144578313253</v>
      </c>
      <c r="C9" s="45">
        <f>C6*0.075</f>
        <v>3.72289156626506</v>
      </c>
      <c r="D9" s="45">
        <f>D6*0.075</f>
        <v>5.602409638554216</v>
      </c>
      <c r="E9" s="45">
        <f>E6*0.075</f>
        <v>11.74698795180723</v>
      </c>
      <c r="F9" s="131">
        <v>0</v>
      </c>
      <c r="G9" s="131">
        <v>0</v>
      </c>
      <c r="H9" s="45">
        <f>H6*0.075</f>
        <v>12.650602409638553</v>
      </c>
      <c r="I9" s="45">
        <f aca="true" t="shared" si="2" ref="I9:O9">I6*0.075</f>
        <v>4.518072289156626</v>
      </c>
      <c r="J9" s="45">
        <f>J6*0.075</f>
        <v>3.975903614457831</v>
      </c>
      <c r="K9" s="130">
        <f t="shared" si="2"/>
        <v>4.518072289156626</v>
      </c>
      <c r="L9" s="130">
        <f t="shared" si="2"/>
        <v>4.518072289156627</v>
      </c>
      <c r="M9" s="45">
        <f t="shared" si="2"/>
        <v>4.518072289156627</v>
      </c>
      <c r="N9" s="45">
        <f t="shared" si="2"/>
        <v>4.518072289156627</v>
      </c>
      <c r="O9" s="46">
        <f t="shared" si="2"/>
        <v>10.843373493975903</v>
      </c>
    </row>
    <row r="10" spans="1:15" ht="12.75">
      <c r="A10" s="47" t="s">
        <v>126</v>
      </c>
      <c r="B10" s="45">
        <f>B7+B8+B9</f>
        <v>26.680722891566266</v>
      </c>
      <c r="C10" s="45">
        <f>C7+C8+C9</f>
        <v>53.36144578313253</v>
      </c>
      <c r="D10" s="45">
        <f>D7+D8+D9</f>
        <v>80.3012048192771</v>
      </c>
      <c r="E10" s="45">
        <f>E7+E8+E9</f>
        <v>168.3734939759036</v>
      </c>
      <c r="F10" s="131">
        <f>((F5-25)/207.5)*107.5</f>
        <v>0</v>
      </c>
      <c r="G10" s="131">
        <f>((G5-25)/207.5)*107.5</f>
        <v>0</v>
      </c>
      <c r="H10" s="45">
        <f>H7+H8+H9</f>
        <v>181.32530120481928</v>
      </c>
      <c r="I10" s="45">
        <f>I7+I8+I9</f>
        <v>64.7590361445783</v>
      </c>
      <c r="J10" s="45">
        <f>J7+J8+J9</f>
        <v>56.98795180722891</v>
      </c>
      <c r="K10" s="130">
        <f>K7+K8+K9</f>
        <v>64.7590361445783</v>
      </c>
      <c r="L10" s="130">
        <f>((L5-25)/207.5)*107.5</f>
        <v>64.75903614457832</v>
      </c>
      <c r="M10" s="45">
        <f>((M5-25)/207.5)*107.5</f>
        <v>64.75903614457832</v>
      </c>
      <c r="N10" s="45">
        <f>((N5-25)/207.5)*107.5</f>
        <v>64.75903614457832</v>
      </c>
      <c r="O10" s="46">
        <f>((O5-25)/207.5)*107.5</f>
        <v>155.42168674698794</v>
      </c>
    </row>
    <row r="11" spans="1:15" ht="12.75">
      <c r="A11" s="47" t="s">
        <v>212</v>
      </c>
      <c r="B11" s="45">
        <v>25</v>
      </c>
      <c r="C11" s="45">
        <v>25</v>
      </c>
      <c r="D11" s="45">
        <v>25</v>
      </c>
      <c r="E11" s="45">
        <v>25</v>
      </c>
      <c r="F11" s="131">
        <v>0</v>
      </c>
      <c r="G11" s="131">
        <v>0</v>
      </c>
      <c r="H11" s="45">
        <v>25</v>
      </c>
      <c r="I11" s="45">
        <v>25</v>
      </c>
      <c r="J11" s="45">
        <v>25</v>
      </c>
      <c r="K11" s="130">
        <v>25</v>
      </c>
      <c r="L11" s="130">
        <v>25</v>
      </c>
      <c r="M11" s="45">
        <v>25</v>
      </c>
      <c r="N11" s="45">
        <v>25</v>
      </c>
      <c r="O11" s="46">
        <v>25</v>
      </c>
    </row>
    <row r="12" spans="1:15" ht="8.25" customHeight="1">
      <c r="A12" s="48"/>
      <c r="B12" s="45"/>
      <c r="C12" s="45"/>
      <c r="D12" s="45"/>
      <c r="E12" s="45"/>
      <c r="F12" s="45"/>
      <c r="G12" s="45"/>
      <c r="H12" s="45"/>
      <c r="I12" s="45"/>
      <c r="J12" s="45"/>
      <c r="K12" s="130"/>
      <c r="L12" s="130"/>
      <c r="M12" s="45"/>
      <c r="N12" s="45"/>
      <c r="O12" s="46"/>
    </row>
    <row r="13" spans="1:15" ht="12.75">
      <c r="A13" s="39" t="s">
        <v>127</v>
      </c>
      <c r="B13" s="45">
        <v>15</v>
      </c>
      <c r="C13" s="45">
        <v>25</v>
      </c>
      <c r="D13" s="45">
        <v>50</v>
      </c>
      <c r="E13" s="45">
        <v>75</v>
      </c>
      <c r="F13" s="131">
        <v>0</v>
      </c>
      <c r="G13" s="131">
        <v>0</v>
      </c>
      <c r="H13" s="45">
        <v>25</v>
      </c>
      <c r="I13" s="45">
        <v>0</v>
      </c>
      <c r="J13" s="45">
        <v>15</v>
      </c>
      <c r="K13" s="130">
        <v>0</v>
      </c>
      <c r="L13" s="160">
        <v>0</v>
      </c>
      <c r="M13" s="131">
        <v>0</v>
      </c>
      <c r="N13" s="45">
        <v>0</v>
      </c>
      <c r="O13" s="46">
        <v>100</v>
      </c>
    </row>
    <row r="14" spans="1:15" ht="12.75">
      <c r="A14" s="39" t="s">
        <v>212</v>
      </c>
      <c r="B14" s="45">
        <v>25</v>
      </c>
      <c r="C14" s="45">
        <v>25</v>
      </c>
      <c r="D14" s="45">
        <v>25</v>
      </c>
      <c r="E14" s="45">
        <v>25</v>
      </c>
      <c r="F14" s="131">
        <v>0</v>
      </c>
      <c r="G14" s="131">
        <v>0</v>
      </c>
      <c r="H14" s="45">
        <v>25</v>
      </c>
      <c r="I14" s="45">
        <v>25</v>
      </c>
      <c r="J14" s="45">
        <v>25</v>
      </c>
      <c r="K14" s="130">
        <v>25</v>
      </c>
      <c r="L14" s="160">
        <v>25</v>
      </c>
      <c r="M14" s="131">
        <v>25</v>
      </c>
      <c r="N14" s="130">
        <v>25</v>
      </c>
      <c r="O14" s="46">
        <v>25</v>
      </c>
    </row>
    <row r="15" spans="1:15" ht="12.75">
      <c r="A15" s="39" t="s">
        <v>128</v>
      </c>
      <c r="B15" s="45">
        <f aca="true" t="shared" si="3" ref="B15:O15">B13*1.075</f>
        <v>16.125</v>
      </c>
      <c r="C15" s="45">
        <f t="shared" si="3"/>
        <v>26.875</v>
      </c>
      <c r="D15" s="45">
        <f t="shared" si="3"/>
        <v>53.75</v>
      </c>
      <c r="E15" s="45">
        <f t="shared" si="3"/>
        <v>80.625</v>
      </c>
      <c r="F15" s="131">
        <f t="shared" si="3"/>
        <v>0</v>
      </c>
      <c r="G15" s="131">
        <f t="shared" si="3"/>
        <v>0</v>
      </c>
      <c r="H15" s="45">
        <f t="shared" si="3"/>
        <v>26.875</v>
      </c>
      <c r="I15" s="45">
        <f t="shared" si="3"/>
        <v>0</v>
      </c>
      <c r="J15" s="45">
        <f t="shared" si="3"/>
        <v>16.125</v>
      </c>
      <c r="K15" s="130">
        <f t="shared" si="3"/>
        <v>0</v>
      </c>
      <c r="L15" s="160">
        <f t="shared" si="3"/>
        <v>0</v>
      </c>
      <c r="M15" s="131">
        <f t="shared" si="3"/>
        <v>0</v>
      </c>
      <c r="N15" s="130">
        <f t="shared" si="3"/>
        <v>0</v>
      </c>
      <c r="O15" s="46">
        <f t="shared" si="3"/>
        <v>107.5</v>
      </c>
    </row>
    <row r="16" spans="1:15" ht="12.75">
      <c r="A16" s="109" t="s">
        <v>231</v>
      </c>
      <c r="B16" s="64">
        <f aca="true" t="shared" si="4" ref="B16:O16">B13+B14+B15</f>
        <v>56.125</v>
      </c>
      <c r="C16" s="64">
        <f t="shared" si="4"/>
        <v>76.875</v>
      </c>
      <c r="D16" s="64">
        <f t="shared" si="4"/>
        <v>128.75</v>
      </c>
      <c r="E16" s="64">
        <f t="shared" si="4"/>
        <v>180.625</v>
      </c>
      <c r="F16" s="64">
        <f t="shared" si="4"/>
        <v>0</v>
      </c>
      <c r="G16" s="64">
        <f t="shared" si="4"/>
        <v>0</v>
      </c>
      <c r="H16" s="64">
        <f t="shared" si="4"/>
        <v>76.875</v>
      </c>
      <c r="I16" s="64">
        <f t="shared" si="4"/>
        <v>25</v>
      </c>
      <c r="J16" s="64">
        <f t="shared" si="4"/>
        <v>56.125</v>
      </c>
      <c r="K16" s="145">
        <f t="shared" si="4"/>
        <v>25</v>
      </c>
      <c r="L16" s="145">
        <f t="shared" si="4"/>
        <v>25</v>
      </c>
      <c r="M16" s="64">
        <f t="shared" si="4"/>
        <v>25</v>
      </c>
      <c r="N16" s="64">
        <f t="shared" si="4"/>
        <v>25</v>
      </c>
      <c r="O16" s="110">
        <f t="shared" si="4"/>
        <v>232.5</v>
      </c>
    </row>
    <row r="17" spans="1:15" ht="6.75" customHeight="1">
      <c r="A17" s="39"/>
      <c r="B17" s="49"/>
      <c r="C17" s="49"/>
      <c r="D17" s="49"/>
      <c r="E17" s="49"/>
      <c r="F17" s="65"/>
      <c r="G17" s="65"/>
      <c r="H17" s="49"/>
      <c r="I17" s="49"/>
      <c r="J17" s="49"/>
      <c r="K17" s="158"/>
      <c r="L17" s="161"/>
      <c r="M17" s="49"/>
      <c r="N17" s="49"/>
      <c r="O17" s="50"/>
    </row>
    <row r="18" spans="1:15" ht="12.75">
      <c r="A18" s="39" t="s">
        <v>129</v>
      </c>
      <c r="B18" s="45">
        <v>25</v>
      </c>
      <c r="C18" s="45">
        <v>50</v>
      </c>
      <c r="D18" s="45">
        <v>75</v>
      </c>
      <c r="E18" s="45">
        <v>200</v>
      </c>
      <c r="F18" s="131">
        <v>25</v>
      </c>
      <c r="G18" s="131">
        <v>25</v>
      </c>
      <c r="H18" s="45">
        <v>200</v>
      </c>
      <c r="I18" s="45">
        <v>100</v>
      </c>
      <c r="J18" s="45">
        <v>200</v>
      </c>
      <c r="K18" s="130">
        <v>100</v>
      </c>
      <c r="L18" s="160">
        <v>100</v>
      </c>
      <c r="M18" s="45">
        <v>100</v>
      </c>
      <c r="N18" s="45">
        <v>100</v>
      </c>
      <c r="O18" s="46">
        <v>200</v>
      </c>
    </row>
    <row r="19" spans="1:15" ht="12.75">
      <c r="A19" s="39" t="s">
        <v>212</v>
      </c>
      <c r="B19" s="45">
        <v>25</v>
      </c>
      <c r="C19" s="45">
        <v>25</v>
      </c>
      <c r="D19" s="45">
        <v>25</v>
      </c>
      <c r="E19" s="45">
        <v>25</v>
      </c>
      <c r="F19" s="131">
        <v>0</v>
      </c>
      <c r="G19" s="131">
        <v>0</v>
      </c>
      <c r="H19" s="45">
        <v>25</v>
      </c>
      <c r="I19" s="45">
        <v>25</v>
      </c>
      <c r="J19" s="45">
        <v>25</v>
      </c>
      <c r="K19" s="130">
        <v>25</v>
      </c>
      <c r="L19" s="160">
        <v>25</v>
      </c>
      <c r="M19" s="45">
        <v>25</v>
      </c>
      <c r="N19" s="130">
        <v>25</v>
      </c>
      <c r="O19" s="46">
        <v>25</v>
      </c>
    </row>
    <row r="20" spans="1:15" ht="12.75">
      <c r="A20" s="39" t="s">
        <v>128</v>
      </c>
      <c r="B20" s="45">
        <f>B18*1.075</f>
        <v>26.875</v>
      </c>
      <c r="C20" s="45">
        <f>C18*1.075</f>
        <v>53.75</v>
      </c>
      <c r="D20" s="45">
        <f>D18*1.075</f>
        <v>80.625</v>
      </c>
      <c r="E20" s="45">
        <f>E18*1.075</f>
        <v>215</v>
      </c>
      <c r="F20" s="131">
        <v>0</v>
      </c>
      <c r="G20" s="131">
        <v>0</v>
      </c>
      <c r="H20" s="45">
        <f>H18*1.075</f>
        <v>215</v>
      </c>
      <c r="I20" s="45">
        <f aca="true" t="shared" si="5" ref="I20:O20">I18*1.075</f>
        <v>107.5</v>
      </c>
      <c r="J20" s="45">
        <f>J18*1.075</f>
        <v>215</v>
      </c>
      <c r="K20" s="130">
        <f t="shared" si="5"/>
        <v>107.5</v>
      </c>
      <c r="L20" s="130">
        <f t="shared" si="5"/>
        <v>107.5</v>
      </c>
      <c r="M20" s="45">
        <f t="shared" si="5"/>
        <v>107.5</v>
      </c>
      <c r="N20" s="45">
        <f t="shared" si="5"/>
        <v>107.5</v>
      </c>
      <c r="O20" s="46">
        <f t="shared" si="5"/>
        <v>215</v>
      </c>
    </row>
    <row r="21" spans="1:15" ht="13.5" thickBot="1">
      <c r="A21" s="109" t="s">
        <v>232</v>
      </c>
      <c r="B21" s="64">
        <f aca="true" t="shared" si="6" ref="B21:O21">B18+B19+B20</f>
        <v>76.875</v>
      </c>
      <c r="C21" s="64">
        <f t="shared" si="6"/>
        <v>128.75</v>
      </c>
      <c r="D21" s="64">
        <f t="shared" si="6"/>
        <v>180.625</v>
      </c>
      <c r="E21" s="64">
        <f t="shared" si="6"/>
        <v>440</v>
      </c>
      <c r="F21" s="64">
        <f t="shared" si="6"/>
        <v>25</v>
      </c>
      <c r="G21" s="64">
        <f t="shared" si="6"/>
        <v>25</v>
      </c>
      <c r="H21" s="64">
        <f t="shared" si="6"/>
        <v>440</v>
      </c>
      <c r="I21" s="64">
        <f t="shared" si="6"/>
        <v>232.5</v>
      </c>
      <c r="J21" s="64">
        <f t="shared" si="6"/>
        <v>440</v>
      </c>
      <c r="K21" s="145">
        <f t="shared" si="6"/>
        <v>232.5</v>
      </c>
      <c r="L21" s="162">
        <f t="shared" si="6"/>
        <v>232.5</v>
      </c>
      <c r="M21" s="64">
        <f t="shared" si="6"/>
        <v>232.5</v>
      </c>
      <c r="N21" s="64">
        <f t="shared" si="6"/>
        <v>232.5</v>
      </c>
      <c r="O21" s="110">
        <f t="shared" si="6"/>
        <v>440</v>
      </c>
    </row>
    <row r="22" spans="1:15" ht="13.5" customHeight="1" thickTop="1">
      <c r="A22" s="133"/>
      <c r="B22" s="197" t="s">
        <v>253</v>
      </c>
      <c r="C22" s="198"/>
      <c r="D22" s="198"/>
      <c r="E22" s="198"/>
      <c r="F22" s="199"/>
      <c r="G22" s="193" t="s">
        <v>130</v>
      </c>
      <c r="H22" s="193" t="s">
        <v>131</v>
      </c>
      <c r="I22" s="200" t="s">
        <v>133</v>
      </c>
      <c r="J22" s="200" t="s">
        <v>134</v>
      </c>
      <c r="K22" s="200" t="s">
        <v>135</v>
      </c>
      <c r="L22" s="195" t="s">
        <v>247</v>
      </c>
      <c r="M22" s="196"/>
      <c r="N22" s="193" t="s">
        <v>157</v>
      </c>
      <c r="O22" s="148"/>
    </row>
    <row r="23" spans="1:15" ht="26.25" thickBot="1">
      <c r="A23" s="134" t="s">
        <v>103</v>
      </c>
      <c r="B23" s="143" t="s">
        <v>254</v>
      </c>
      <c r="C23" s="135" t="s">
        <v>283</v>
      </c>
      <c r="D23" s="135" t="s">
        <v>255</v>
      </c>
      <c r="E23" s="135" t="s">
        <v>256</v>
      </c>
      <c r="F23" s="136" t="s">
        <v>257</v>
      </c>
      <c r="G23" s="194"/>
      <c r="H23" s="194"/>
      <c r="I23" s="201"/>
      <c r="J23" s="201"/>
      <c r="K23" s="201"/>
      <c r="L23" s="156" t="s">
        <v>248</v>
      </c>
      <c r="M23" s="157" t="s">
        <v>249</v>
      </c>
      <c r="N23" s="194"/>
      <c r="O23" s="149"/>
    </row>
    <row r="24" spans="1:15" ht="12.75">
      <c r="A24" s="39" t="s">
        <v>108</v>
      </c>
      <c r="B24" s="155" t="s">
        <v>161</v>
      </c>
      <c r="C24" s="150" t="s">
        <v>112</v>
      </c>
      <c r="D24" s="150" t="s">
        <v>113</v>
      </c>
      <c r="E24" s="150" t="s">
        <v>114</v>
      </c>
      <c r="F24" s="41" t="s">
        <v>115</v>
      </c>
      <c r="G24" s="40" t="s">
        <v>137</v>
      </c>
      <c r="H24" s="40" t="s">
        <v>138</v>
      </c>
      <c r="I24" s="40" t="s">
        <v>141</v>
      </c>
      <c r="J24" s="40" t="s">
        <v>142</v>
      </c>
      <c r="K24" s="40" t="s">
        <v>143</v>
      </c>
      <c r="L24" s="155" t="s">
        <v>144</v>
      </c>
      <c r="M24" s="41" t="s">
        <v>145</v>
      </c>
      <c r="N24" s="40" t="s">
        <v>163</v>
      </c>
      <c r="O24" s="146"/>
    </row>
    <row r="25" spans="1:15" ht="13.5" thickBot="1">
      <c r="A25" s="42" t="s">
        <v>118</v>
      </c>
      <c r="B25" s="152" t="s">
        <v>120</v>
      </c>
      <c r="C25" s="43" t="s">
        <v>120</v>
      </c>
      <c r="D25" s="43" t="s">
        <v>120</v>
      </c>
      <c r="E25" s="43" t="s">
        <v>120</v>
      </c>
      <c r="F25" s="44" t="s">
        <v>120</v>
      </c>
      <c r="G25" s="43" t="s">
        <v>148</v>
      </c>
      <c r="H25" s="43" t="s">
        <v>138</v>
      </c>
      <c r="I25" s="43" t="s">
        <v>141</v>
      </c>
      <c r="J25" s="43"/>
      <c r="K25" s="43" t="s">
        <v>150</v>
      </c>
      <c r="L25" s="152" t="s">
        <v>151</v>
      </c>
      <c r="M25" s="44" t="s">
        <v>152</v>
      </c>
      <c r="N25" s="43" t="s">
        <v>171</v>
      </c>
      <c r="O25" s="146"/>
    </row>
    <row r="26" spans="1:15" ht="12.75">
      <c r="A26" s="39" t="s">
        <v>121</v>
      </c>
      <c r="B26" s="45">
        <v>150</v>
      </c>
      <c r="C26" s="45">
        <v>150</v>
      </c>
      <c r="D26" s="45">
        <v>150</v>
      </c>
      <c r="E26" s="45">
        <v>150</v>
      </c>
      <c r="F26" s="45">
        <v>150</v>
      </c>
      <c r="G26" s="45">
        <f>207.5+25</f>
        <v>232.5</v>
      </c>
      <c r="H26" s="45">
        <v>155</v>
      </c>
      <c r="I26" s="45">
        <v>350</v>
      </c>
      <c r="J26" s="45">
        <v>150</v>
      </c>
      <c r="K26" s="45">
        <v>150</v>
      </c>
      <c r="L26" s="45">
        <v>100</v>
      </c>
      <c r="M26" s="45">
        <v>232.5</v>
      </c>
      <c r="N26" s="45">
        <v>1062.2</v>
      </c>
      <c r="O26" s="146"/>
    </row>
    <row r="27" spans="1:15" ht="12.75">
      <c r="A27" s="47" t="s">
        <v>122</v>
      </c>
      <c r="B27" s="45">
        <f>((B26-25)/2.075)*1</f>
        <v>60.24096385542168</v>
      </c>
      <c r="C27" s="45">
        <f>((C26-25)/2.075)*1</f>
        <v>60.24096385542168</v>
      </c>
      <c r="D27" s="45">
        <f>((D26-25)/2.075)*1</f>
        <v>60.24096385542168</v>
      </c>
      <c r="E27" s="45">
        <f>((E26-25)/2.075)*1</f>
        <v>60.24096385542168</v>
      </c>
      <c r="F27" s="45">
        <f>((F26-25)/2.075)*1</f>
        <v>60.24096385542168</v>
      </c>
      <c r="G27" s="45">
        <f>((G26-25)/207.5)*100</f>
        <v>100</v>
      </c>
      <c r="H27" s="45">
        <f aca="true" t="shared" si="7" ref="H27:N27">((H26-25)/207.5)*100</f>
        <v>62.65060240963856</v>
      </c>
      <c r="I27" s="45">
        <f t="shared" si="7"/>
        <v>156.6265060240964</v>
      </c>
      <c r="J27" s="45">
        <f t="shared" si="7"/>
        <v>60.24096385542169</v>
      </c>
      <c r="K27" s="45">
        <f t="shared" si="7"/>
        <v>60.24096385542169</v>
      </c>
      <c r="L27" s="45">
        <f t="shared" si="7"/>
        <v>36.144578313253014</v>
      </c>
      <c r="M27" s="45">
        <f t="shared" si="7"/>
        <v>100</v>
      </c>
      <c r="N27" s="45">
        <f t="shared" si="7"/>
        <v>499.85542168674704</v>
      </c>
      <c r="O27" s="146"/>
    </row>
    <row r="28" spans="1:15" ht="12.75">
      <c r="A28" s="47" t="s">
        <v>123</v>
      </c>
      <c r="B28" s="45">
        <f aca="true" t="shared" si="8" ref="B28:G28">B27*0.12</f>
        <v>7.228915662650602</v>
      </c>
      <c r="C28" s="45">
        <f t="shared" si="8"/>
        <v>7.228915662650602</v>
      </c>
      <c r="D28" s="45">
        <f t="shared" si="8"/>
        <v>7.228915662650602</v>
      </c>
      <c r="E28" s="45">
        <f t="shared" si="8"/>
        <v>7.228915662650602</v>
      </c>
      <c r="F28" s="45">
        <f t="shared" si="8"/>
        <v>7.228915662650602</v>
      </c>
      <c r="G28" s="45">
        <f t="shared" si="8"/>
        <v>12</v>
      </c>
      <c r="H28" s="45">
        <f aca="true" t="shared" si="9" ref="H28:N28">H27*0.12</f>
        <v>7.518072289156627</v>
      </c>
      <c r="I28" s="45">
        <f t="shared" si="9"/>
        <v>18.795180722891565</v>
      </c>
      <c r="J28" s="45">
        <f t="shared" si="9"/>
        <v>7.228915662650603</v>
      </c>
      <c r="K28" s="45">
        <f t="shared" si="9"/>
        <v>7.228915662650603</v>
      </c>
      <c r="L28" s="45">
        <f t="shared" si="9"/>
        <v>4.337349397590361</v>
      </c>
      <c r="M28" s="45">
        <f t="shared" si="9"/>
        <v>12</v>
      </c>
      <c r="N28" s="45">
        <f t="shared" si="9"/>
        <v>59.98265060240964</v>
      </c>
      <c r="O28" s="146"/>
    </row>
    <row r="29" spans="1:15" ht="12.75">
      <c r="A29" s="47" t="s">
        <v>153</v>
      </c>
      <c r="B29" s="45">
        <f aca="true" t="shared" si="10" ref="B29:G29">B27*0.88</f>
        <v>53.01204819277108</v>
      </c>
      <c r="C29" s="45">
        <f t="shared" si="10"/>
        <v>53.01204819277108</v>
      </c>
      <c r="D29" s="45">
        <f t="shared" si="10"/>
        <v>53.01204819277108</v>
      </c>
      <c r="E29" s="45">
        <f t="shared" si="10"/>
        <v>53.01204819277108</v>
      </c>
      <c r="F29" s="45">
        <f t="shared" si="10"/>
        <v>53.01204819277108</v>
      </c>
      <c r="G29" s="45">
        <f t="shared" si="10"/>
        <v>88</v>
      </c>
      <c r="H29" s="45">
        <f aca="true" t="shared" si="11" ref="H29:M29">H27*0.88</f>
        <v>55.13253012048193</v>
      </c>
      <c r="I29" s="45">
        <f t="shared" si="11"/>
        <v>137.83132530120483</v>
      </c>
      <c r="J29" s="45">
        <f t="shared" si="11"/>
        <v>53.01204819277109</v>
      </c>
      <c r="K29" s="45">
        <f t="shared" si="11"/>
        <v>53.01204819277109</v>
      </c>
      <c r="L29" s="45">
        <f t="shared" si="11"/>
        <v>31.80722891566265</v>
      </c>
      <c r="M29" s="45">
        <f t="shared" si="11"/>
        <v>88</v>
      </c>
      <c r="N29" s="45">
        <f>N27*0.88</f>
        <v>439.8727710843374</v>
      </c>
      <c r="O29" s="146"/>
    </row>
    <row r="30" spans="1:15" ht="12.75">
      <c r="A30" s="47" t="s">
        <v>154</v>
      </c>
      <c r="B30" s="45">
        <f aca="true" t="shared" si="12" ref="B30:G30">B27*0.075</f>
        <v>4.518072289156626</v>
      </c>
      <c r="C30" s="45">
        <f t="shared" si="12"/>
        <v>4.518072289156626</v>
      </c>
      <c r="D30" s="45">
        <f t="shared" si="12"/>
        <v>4.518072289156626</v>
      </c>
      <c r="E30" s="45">
        <f t="shared" si="12"/>
        <v>4.518072289156626</v>
      </c>
      <c r="F30" s="45">
        <f t="shared" si="12"/>
        <v>4.518072289156626</v>
      </c>
      <c r="G30" s="45">
        <f t="shared" si="12"/>
        <v>7.5</v>
      </c>
      <c r="H30" s="45">
        <f aca="true" t="shared" si="13" ref="H30:M30">H27*0.075</f>
        <v>4.698795180722891</v>
      </c>
      <c r="I30" s="45">
        <f t="shared" si="13"/>
        <v>11.74698795180723</v>
      </c>
      <c r="J30" s="45">
        <f t="shared" si="13"/>
        <v>4.518072289156627</v>
      </c>
      <c r="K30" s="45">
        <f t="shared" si="13"/>
        <v>4.518072289156627</v>
      </c>
      <c r="L30" s="45">
        <f t="shared" si="13"/>
        <v>2.710843373493976</v>
      </c>
      <c r="M30" s="45">
        <f t="shared" si="13"/>
        <v>7.5</v>
      </c>
      <c r="N30" s="45">
        <f>N27*0.075</f>
        <v>37.48915662650602</v>
      </c>
      <c r="O30" s="146"/>
    </row>
    <row r="31" spans="1:15" ht="12.75">
      <c r="A31" s="47" t="s">
        <v>126</v>
      </c>
      <c r="B31" s="45">
        <f>B28+B29+B30</f>
        <v>64.7590361445783</v>
      </c>
      <c r="C31" s="45">
        <f>C28+C29+C30</f>
        <v>64.7590361445783</v>
      </c>
      <c r="D31" s="45">
        <f>D28+D29+D30</f>
        <v>64.7590361445783</v>
      </c>
      <c r="E31" s="45">
        <f>E28+E29+E30</f>
        <v>64.7590361445783</v>
      </c>
      <c r="F31" s="45">
        <f>F28+F29+F30</f>
        <v>64.7590361445783</v>
      </c>
      <c r="G31" s="45">
        <f>((G26-25)/207.5)*107.5</f>
        <v>107.5</v>
      </c>
      <c r="H31" s="45">
        <f aca="true" t="shared" si="14" ref="H31:M31">((H26-25)/207.5)*107.5</f>
        <v>67.34939759036145</v>
      </c>
      <c r="I31" s="45">
        <f t="shared" si="14"/>
        <v>168.3734939759036</v>
      </c>
      <c r="J31" s="45">
        <f t="shared" si="14"/>
        <v>64.75903614457832</v>
      </c>
      <c r="K31" s="45">
        <f t="shared" si="14"/>
        <v>64.75903614457832</v>
      </c>
      <c r="L31" s="45">
        <f t="shared" si="14"/>
        <v>38.855421686746986</v>
      </c>
      <c r="M31" s="45">
        <f t="shared" si="14"/>
        <v>107.5</v>
      </c>
      <c r="N31" s="45">
        <f>((N26-25)/207.5)*107.5</f>
        <v>537.344578313253</v>
      </c>
      <c r="O31" s="146"/>
    </row>
    <row r="32" spans="1:15" ht="12.75">
      <c r="A32" s="39" t="s">
        <v>212</v>
      </c>
      <c r="B32" s="45">
        <v>25</v>
      </c>
      <c r="C32" s="45">
        <v>25</v>
      </c>
      <c r="D32" s="45">
        <v>25</v>
      </c>
      <c r="E32" s="45">
        <v>25</v>
      </c>
      <c r="F32" s="45">
        <v>25</v>
      </c>
      <c r="G32" s="45">
        <v>25</v>
      </c>
      <c r="H32" s="45">
        <v>25</v>
      </c>
      <c r="I32" s="45">
        <v>25</v>
      </c>
      <c r="J32" s="45">
        <v>25</v>
      </c>
      <c r="K32" s="45">
        <v>25</v>
      </c>
      <c r="L32" s="45">
        <v>25</v>
      </c>
      <c r="M32" s="45">
        <v>25</v>
      </c>
      <c r="N32" s="45">
        <v>25</v>
      </c>
      <c r="O32" s="146"/>
    </row>
    <row r="33" spans="1:15" ht="8.25" customHeight="1">
      <c r="A33" s="48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146"/>
    </row>
    <row r="34" spans="1:15" ht="12.75">
      <c r="A34" s="39" t="s">
        <v>127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100</v>
      </c>
      <c r="H34" s="45">
        <v>0</v>
      </c>
      <c r="I34" s="45">
        <v>100</v>
      </c>
      <c r="J34" s="45">
        <v>50</v>
      </c>
      <c r="K34" s="45">
        <v>0</v>
      </c>
      <c r="L34" s="45">
        <v>0</v>
      </c>
      <c r="M34" s="45">
        <v>50</v>
      </c>
      <c r="N34" s="45">
        <v>500</v>
      </c>
      <c r="O34" s="146"/>
    </row>
    <row r="35" spans="1:15" ht="12.75">
      <c r="A35" s="39" t="s">
        <v>212</v>
      </c>
      <c r="B35" s="45">
        <v>25</v>
      </c>
      <c r="C35" s="45">
        <v>25</v>
      </c>
      <c r="D35" s="45">
        <v>25</v>
      </c>
      <c r="E35" s="45">
        <v>25</v>
      </c>
      <c r="F35" s="45">
        <v>25</v>
      </c>
      <c r="G35" s="45">
        <v>25</v>
      </c>
      <c r="H35" s="45">
        <v>25</v>
      </c>
      <c r="I35" s="45">
        <v>25</v>
      </c>
      <c r="J35" s="45">
        <v>25</v>
      </c>
      <c r="K35" s="45">
        <v>25</v>
      </c>
      <c r="L35" s="45">
        <v>25</v>
      </c>
      <c r="M35" s="45">
        <v>25</v>
      </c>
      <c r="N35" s="45">
        <v>25</v>
      </c>
      <c r="O35" s="146"/>
    </row>
    <row r="36" spans="1:15" ht="12.75">
      <c r="A36" s="39" t="s">
        <v>155</v>
      </c>
      <c r="B36" s="45">
        <f aca="true" t="shared" si="15" ref="B36:G36">B34*1.075</f>
        <v>0</v>
      </c>
      <c r="C36" s="45">
        <f t="shared" si="15"/>
        <v>0</v>
      </c>
      <c r="D36" s="45">
        <f t="shared" si="15"/>
        <v>0</v>
      </c>
      <c r="E36" s="45">
        <f t="shared" si="15"/>
        <v>0</v>
      </c>
      <c r="F36" s="45">
        <f t="shared" si="15"/>
        <v>0</v>
      </c>
      <c r="G36" s="45">
        <f t="shared" si="15"/>
        <v>107.5</v>
      </c>
      <c r="H36" s="45">
        <f aca="true" t="shared" si="16" ref="H36:M36">H34*1.075</f>
        <v>0</v>
      </c>
      <c r="I36" s="45">
        <f t="shared" si="16"/>
        <v>107.5</v>
      </c>
      <c r="J36" s="45">
        <f t="shared" si="16"/>
        <v>53.75</v>
      </c>
      <c r="K36" s="45">
        <f t="shared" si="16"/>
        <v>0</v>
      </c>
      <c r="L36" s="45">
        <f t="shared" si="16"/>
        <v>0</v>
      </c>
      <c r="M36" s="45">
        <f t="shared" si="16"/>
        <v>53.75</v>
      </c>
      <c r="N36" s="45">
        <f>N34*1.075</f>
        <v>537.5</v>
      </c>
      <c r="O36" s="146"/>
    </row>
    <row r="37" spans="1:15" ht="12.75">
      <c r="A37" s="109" t="s">
        <v>231</v>
      </c>
      <c r="B37" s="64">
        <f aca="true" t="shared" si="17" ref="B37:G37">B34+B35+B36</f>
        <v>25</v>
      </c>
      <c r="C37" s="64">
        <f t="shared" si="17"/>
        <v>25</v>
      </c>
      <c r="D37" s="64">
        <f t="shared" si="17"/>
        <v>25</v>
      </c>
      <c r="E37" s="64">
        <f t="shared" si="17"/>
        <v>25</v>
      </c>
      <c r="F37" s="64">
        <f t="shared" si="17"/>
        <v>25</v>
      </c>
      <c r="G37" s="64">
        <f t="shared" si="17"/>
        <v>232.5</v>
      </c>
      <c r="H37" s="64">
        <f aca="true" t="shared" si="18" ref="H37:N37">H34+H35+H36</f>
        <v>25</v>
      </c>
      <c r="I37" s="64">
        <f t="shared" si="18"/>
        <v>232.5</v>
      </c>
      <c r="J37" s="64">
        <f t="shared" si="18"/>
        <v>128.75</v>
      </c>
      <c r="K37" s="64">
        <f t="shared" si="18"/>
        <v>25</v>
      </c>
      <c r="L37" s="64">
        <f t="shared" si="18"/>
        <v>25</v>
      </c>
      <c r="M37" s="64">
        <f t="shared" si="18"/>
        <v>128.75</v>
      </c>
      <c r="N37" s="64">
        <f t="shared" si="18"/>
        <v>1062.5</v>
      </c>
      <c r="O37" s="146"/>
    </row>
    <row r="38" spans="1:15" ht="8.25" customHeight="1">
      <c r="A38" s="3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146"/>
    </row>
    <row r="39" spans="1:15" ht="12.75">
      <c r="A39" s="39" t="s">
        <v>129</v>
      </c>
      <c r="B39" s="45">
        <v>100</v>
      </c>
      <c r="C39" s="45">
        <v>100</v>
      </c>
      <c r="D39" s="45">
        <v>100</v>
      </c>
      <c r="E39" s="45">
        <v>100</v>
      </c>
      <c r="F39" s="45">
        <v>100</v>
      </c>
      <c r="G39" s="45">
        <v>100</v>
      </c>
      <c r="H39" s="45">
        <v>25</v>
      </c>
      <c r="I39" s="45">
        <v>200</v>
      </c>
      <c r="J39" s="45">
        <v>100</v>
      </c>
      <c r="K39" s="45">
        <v>100</v>
      </c>
      <c r="L39" s="45">
        <v>100</v>
      </c>
      <c r="M39" s="45">
        <v>100</v>
      </c>
      <c r="N39" s="45">
        <v>500</v>
      </c>
      <c r="O39" s="146"/>
    </row>
    <row r="40" spans="1:15" ht="12.75">
      <c r="A40" s="39" t="s">
        <v>212</v>
      </c>
      <c r="B40" s="45">
        <v>25</v>
      </c>
      <c r="C40" s="45">
        <v>25</v>
      </c>
      <c r="D40" s="45">
        <v>25</v>
      </c>
      <c r="E40" s="45">
        <v>25</v>
      </c>
      <c r="F40" s="45">
        <v>25</v>
      </c>
      <c r="G40" s="45">
        <v>25</v>
      </c>
      <c r="H40" s="45">
        <v>25</v>
      </c>
      <c r="I40" s="45">
        <v>25</v>
      </c>
      <c r="J40" s="45">
        <v>25</v>
      </c>
      <c r="K40" s="45">
        <v>25</v>
      </c>
      <c r="L40" s="45">
        <v>25</v>
      </c>
      <c r="M40" s="45">
        <v>25</v>
      </c>
      <c r="N40" s="45">
        <v>25</v>
      </c>
      <c r="O40" s="146"/>
    </row>
    <row r="41" spans="1:15" ht="12.75">
      <c r="A41" s="39" t="s">
        <v>155</v>
      </c>
      <c r="B41" s="45">
        <f aca="true" t="shared" si="19" ref="B41:G41">B39*1.075</f>
        <v>107.5</v>
      </c>
      <c r="C41" s="45">
        <f t="shared" si="19"/>
        <v>107.5</v>
      </c>
      <c r="D41" s="45">
        <f t="shared" si="19"/>
        <v>107.5</v>
      </c>
      <c r="E41" s="45">
        <f t="shared" si="19"/>
        <v>107.5</v>
      </c>
      <c r="F41" s="45">
        <f t="shared" si="19"/>
        <v>107.5</v>
      </c>
      <c r="G41" s="45">
        <f t="shared" si="19"/>
        <v>107.5</v>
      </c>
      <c r="H41" s="45">
        <f aca="true" t="shared" si="20" ref="H41:M41">H39*1.075</f>
        <v>26.875</v>
      </c>
      <c r="I41" s="45">
        <f t="shared" si="20"/>
        <v>215</v>
      </c>
      <c r="J41" s="45">
        <f t="shared" si="20"/>
        <v>107.5</v>
      </c>
      <c r="K41" s="45">
        <f t="shared" si="20"/>
        <v>107.5</v>
      </c>
      <c r="L41" s="45">
        <f t="shared" si="20"/>
        <v>107.5</v>
      </c>
      <c r="M41" s="45">
        <f t="shared" si="20"/>
        <v>107.5</v>
      </c>
      <c r="N41" s="45">
        <f>N39*1.075</f>
        <v>537.5</v>
      </c>
      <c r="O41" s="146"/>
    </row>
    <row r="42" spans="1:15" ht="13.5" thickBot="1">
      <c r="A42" s="109" t="s">
        <v>232</v>
      </c>
      <c r="B42" s="64">
        <f aca="true" t="shared" si="21" ref="B42:G42">B39+B40+B41</f>
        <v>232.5</v>
      </c>
      <c r="C42" s="64">
        <f t="shared" si="21"/>
        <v>232.5</v>
      </c>
      <c r="D42" s="64">
        <f t="shared" si="21"/>
        <v>232.5</v>
      </c>
      <c r="E42" s="64">
        <f t="shared" si="21"/>
        <v>232.5</v>
      </c>
      <c r="F42" s="64">
        <f t="shared" si="21"/>
        <v>232.5</v>
      </c>
      <c r="G42" s="64">
        <f t="shared" si="21"/>
        <v>232.5</v>
      </c>
      <c r="H42" s="64">
        <f aca="true" t="shared" si="22" ref="H42:N42">H39+H40+H41</f>
        <v>76.875</v>
      </c>
      <c r="I42" s="64">
        <f t="shared" si="22"/>
        <v>440</v>
      </c>
      <c r="J42" s="64">
        <f t="shared" si="22"/>
        <v>232.5</v>
      </c>
      <c r="K42" s="64">
        <f t="shared" si="22"/>
        <v>232.5</v>
      </c>
      <c r="L42" s="64">
        <f t="shared" si="22"/>
        <v>232.5</v>
      </c>
      <c r="M42" s="64">
        <f t="shared" si="22"/>
        <v>232.5</v>
      </c>
      <c r="N42" s="64">
        <f t="shared" si="22"/>
        <v>1062.5</v>
      </c>
      <c r="O42" s="147"/>
    </row>
    <row r="43" spans="1:15" ht="13.5" customHeight="1" thickTop="1">
      <c r="A43" s="133"/>
      <c r="B43" s="195" t="s">
        <v>246</v>
      </c>
      <c r="C43" s="209"/>
      <c r="D43" s="209"/>
      <c r="E43" s="209"/>
      <c r="F43" s="209"/>
      <c r="G43" s="196"/>
      <c r="H43" s="195" t="s">
        <v>274</v>
      </c>
      <c r="I43" s="209"/>
      <c r="J43" s="196"/>
      <c r="K43" s="220" t="s">
        <v>156</v>
      </c>
      <c r="L43" s="193" t="s">
        <v>277</v>
      </c>
      <c r="M43" s="193" t="s">
        <v>278</v>
      </c>
      <c r="N43" s="217" t="s">
        <v>245</v>
      </c>
      <c r="O43" s="212" t="s">
        <v>160</v>
      </c>
    </row>
    <row r="44" spans="1:15" ht="13.5" customHeight="1">
      <c r="A44" s="109"/>
      <c r="B44" s="204" t="s">
        <v>263</v>
      </c>
      <c r="C44" s="205"/>
      <c r="D44" s="205"/>
      <c r="E44" s="204" t="s">
        <v>280</v>
      </c>
      <c r="F44" s="205"/>
      <c r="G44" s="206"/>
      <c r="H44" s="189" t="s">
        <v>273</v>
      </c>
      <c r="I44" s="216" t="s">
        <v>275</v>
      </c>
      <c r="J44" s="221" t="s">
        <v>276</v>
      </c>
      <c r="K44" s="189"/>
      <c r="L44" s="216"/>
      <c r="M44" s="216"/>
      <c r="N44" s="218"/>
      <c r="O44" s="221"/>
    </row>
    <row r="45" spans="1:15" ht="13.5" customHeight="1">
      <c r="A45" s="191" t="s">
        <v>103</v>
      </c>
      <c r="B45" s="202" t="s">
        <v>279</v>
      </c>
      <c r="C45" s="203"/>
      <c r="D45" s="203"/>
      <c r="E45" s="154" t="s">
        <v>282</v>
      </c>
      <c r="F45" s="207" t="s">
        <v>281</v>
      </c>
      <c r="G45" s="208"/>
      <c r="H45" s="189"/>
      <c r="I45" s="216"/>
      <c r="J45" s="221"/>
      <c r="K45" s="189"/>
      <c r="L45" s="216"/>
      <c r="M45" s="216"/>
      <c r="N45" s="218"/>
      <c r="O45" s="221"/>
    </row>
    <row r="46" spans="1:15" ht="26.25" thickBot="1">
      <c r="A46" s="192"/>
      <c r="B46" s="142" t="s">
        <v>269</v>
      </c>
      <c r="C46" s="137" t="s">
        <v>270</v>
      </c>
      <c r="D46" s="137" t="s">
        <v>271</v>
      </c>
      <c r="E46" s="142" t="s">
        <v>272</v>
      </c>
      <c r="F46" s="166" t="s">
        <v>289</v>
      </c>
      <c r="G46" s="167" t="s">
        <v>290</v>
      </c>
      <c r="H46" s="190"/>
      <c r="I46" s="194"/>
      <c r="J46" s="213"/>
      <c r="K46" s="190"/>
      <c r="L46" s="194"/>
      <c r="M46" s="194"/>
      <c r="N46" s="219"/>
      <c r="O46" s="213"/>
    </row>
    <row r="47" spans="1:15" ht="12.75">
      <c r="A47" s="39" t="s">
        <v>108</v>
      </c>
      <c r="B47" s="151" t="s">
        <v>147</v>
      </c>
      <c r="C47" s="40" t="s">
        <v>147</v>
      </c>
      <c r="D47" s="153" t="s">
        <v>147</v>
      </c>
      <c r="E47" s="40" t="s">
        <v>147</v>
      </c>
      <c r="F47" s="40" t="s">
        <v>147</v>
      </c>
      <c r="G47" s="153" t="s">
        <v>147</v>
      </c>
      <c r="H47" s="40" t="s">
        <v>111</v>
      </c>
      <c r="I47" s="40" t="s">
        <v>165</v>
      </c>
      <c r="J47" s="153" t="s">
        <v>164</v>
      </c>
      <c r="K47" s="40" t="s">
        <v>162</v>
      </c>
      <c r="L47" s="40" t="s">
        <v>167</v>
      </c>
      <c r="M47" s="40" t="s">
        <v>167</v>
      </c>
      <c r="N47" s="40" t="s">
        <v>168</v>
      </c>
      <c r="O47" s="41" t="s">
        <v>169</v>
      </c>
    </row>
    <row r="48" spans="1:15" ht="13.5" thickBot="1">
      <c r="A48" s="42" t="s">
        <v>118</v>
      </c>
      <c r="B48" s="152" t="s">
        <v>147</v>
      </c>
      <c r="C48" s="43" t="s">
        <v>147</v>
      </c>
      <c r="D48" s="44" t="s">
        <v>147</v>
      </c>
      <c r="E48" s="43" t="s">
        <v>147</v>
      </c>
      <c r="F48" s="43" t="s">
        <v>147</v>
      </c>
      <c r="G48" s="44" t="s">
        <v>147</v>
      </c>
      <c r="H48" s="43" t="s">
        <v>120</v>
      </c>
      <c r="I48" s="43" t="s">
        <v>150</v>
      </c>
      <c r="J48" s="44" t="s">
        <v>164</v>
      </c>
      <c r="K48" s="43" t="s">
        <v>170</v>
      </c>
      <c r="L48" s="43" t="s">
        <v>172</v>
      </c>
      <c r="M48" s="43" t="s">
        <v>172</v>
      </c>
      <c r="N48" s="51" t="s">
        <v>173</v>
      </c>
      <c r="O48" s="111" t="s">
        <v>174</v>
      </c>
    </row>
    <row r="49" spans="1:15" ht="12.75">
      <c r="A49" s="39" t="s">
        <v>121</v>
      </c>
      <c r="B49" s="45">
        <v>647.5</v>
      </c>
      <c r="C49" s="45">
        <v>1270</v>
      </c>
      <c r="D49" s="45">
        <v>2100</v>
      </c>
      <c r="E49" s="45">
        <v>647.5</v>
      </c>
      <c r="F49" s="45">
        <v>647.5</v>
      </c>
      <c r="G49" s="45">
        <v>647.5</v>
      </c>
      <c r="H49" s="45">
        <v>150</v>
      </c>
      <c r="I49" s="45">
        <v>150</v>
      </c>
      <c r="J49" s="45">
        <v>150</v>
      </c>
      <c r="K49" s="45">
        <v>232.5</v>
      </c>
      <c r="L49" s="45">
        <v>992</v>
      </c>
      <c r="M49" s="45">
        <v>992</v>
      </c>
      <c r="N49" s="45">
        <v>275</v>
      </c>
      <c r="O49" s="46">
        <v>565</v>
      </c>
    </row>
    <row r="50" spans="1:15" ht="12.75">
      <c r="A50" s="47" t="s">
        <v>122</v>
      </c>
      <c r="B50" s="45">
        <f aca="true" t="shared" si="23" ref="B50:K50">((B49-(B55+B56))/207.5)*100</f>
        <v>300</v>
      </c>
      <c r="C50" s="45">
        <f t="shared" si="23"/>
        <v>600</v>
      </c>
      <c r="D50" s="45">
        <f t="shared" si="23"/>
        <v>1000</v>
      </c>
      <c r="E50" s="45">
        <f t="shared" si="23"/>
        <v>300</v>
      </c>
      <c r="F50" s="45">
        <f t="shared" si="23"/>
        <v>300</v>
      </c>
      <c r="G50" s="45">
        <f t="shared" si="23"/>
        <v>300</v>
      </c>
      <c r="H50" s="45">
        <f t="shared" si="23"/>
        <v>60.24096385542169</v>
      </c>
      <c r="I50" s="45">
        <f t="shared" si="23"/>
        <v>60.24096385542169</v>
      </c>
      <c r="J50" s="45">
        <f t="shared" si="23"/>
        <v>60.24096385542169</v>
      </c>
      <c r="K50" s="45">
        <f t="shared" si="23"/>
        <v>100</v>
      </c>
      <c r="L50" s="45">
        <v>400</v>
      </c>
      <c r="M50" s="45">
        <v>400</v>
      </c>
      <c r="N50" s="45">
        <f>((N49-(N55+N56))/207.5)*100</f>
        <v>108.43373493975903</v>
      </c>
      <c r="O50" s="46">
        <f>((O49-(O55+O56))/207.5)*100</f>
        <v>200</v>
      </c>
    </row>
    <row r="51" spans="1:15" ht="12.75">
      <c r="A51" s="47" t="s">
        <v>123</v>
      </c>
      <c r="B51" s="45">
        <f aca="true" t="shared" si="24" ref="B51:O51">B50*0.12</f>
        <v>36</v>
      </c>
      <c r="C51" s="45">
        <f t="shared" si="24"/>
        <v>72</v>
      </c>
      <c r="D51" s="45">
        <f t="shared" si="24"/>
        <v>120</v>
      </c>
      <c r="E51" s="45">
        <f t="shared" si="24"/>
        <v>36</v>
      </c>
      <c r="F51" s="45">
        <f t="shared" si="24"/>
        <v>36</v>
      </c>
      <c r="G51" s="45">
        <f t="shared" si="24"/>
        <v>36</v>
      </c>
      <c r="H51" s="45">
        <f t="shared" si="24"/>
        <v>7.228915662650603</v>
      </c>
      <c r="I51" s="45">
        <f t="shared" si="24"/>
        <v>7.228915662650603</v>
      </c>
      <c r="J51" s="45">
        <f t="shared" si="24"/>
        <v>7.228915662650603</v>
      </c>
      <c r="K51" s="45">
        <f t="shared" si="24"/>
        <v>12</v>
      </c>
      <c r="L51" s="45">
        <f t="shared" si="24"/>
        <v>48</v>
      </c>
      <c r="M51" s="45">
        <f t="shared" si="24"/>
        <v>48</v>
      </c>
      <c r="N51" s="45">
        <f t="shared" si="24"/>
        <v>13.012048192771084</v>
      </c>
      <c r="O51" s="46">
        <f t="shared" si="24"/>
        <v>24</v>
      </c>
    </row>
    <row r="52" spans="1:15" ht="12.75">
      <c r="A52" s="47" t="s">
        <v>124</v>
      </c>
      <c r="B52" s="45">
        <f aca="true" t="shared" si="25" ref="B52:O52">B50*0.88</f>
        <v>264</v>
      </c>
      <c r="C52" s="45">
        <f t="shared" si="25"/>
        <v>528</v>
      </c>
      <c r="D52" s="45">
        <f t="shared" si="25"/>
        <v>880</v>
      </c>
      <c r="E52" s="45">
        <f t="shared" si="25"/>
        <v>264</v>
      </c>
      <c r="F52" s="45">
        <f t="shared" si="25"/>
        <v>264</v>
      </c>
      <c r="G52" s="45">
        <f t="shared" si="25"/>
        <v>264</v>
      </c>
      <c r="H52" s="45">
        <f t="shared" si="25"/>
        <v>53.01204819277109</v>
      </c>
      <c r="I52" s="45">
        <f t="shared" si="25"/>
        <v>53.01204819277109</v>
      </c>
      <c r="J52" s="45">
        <f t="shared" si="25"/>
        <v>53.01204819277109</v>
      </c>
      <c r="K52" s="45">
        <f t="shared" si="25"/>
        <v>88</v>
      </c>
      <c r="L52" s="45">
        <f t="shared" si="25"/>
        <v>352</v>
      </c>
      <c r="M52" s="45">
        <f t="shared" si="25"/>
        <v>352</v>
      </c>
      <c r="N52" s="45">
        <f t="shared" si="25"/>
        <v>95.42168674698794</v>
      </c>
      <c r="O52" s="46">
        <f t="shared" si="25"/>
        <v>176</v>
      </c>
    </row>
    <row r="53" spans="1:15" ht="12.75">
      <c r="A53" s="47" t="s">
        <v>125</v>
      </c>
      <c r="B53" s="45">
        <f aca="true" t="shared" si="26" ref="B53:O53">B50*0.075</f>
        <v>22.5</v>
      </c>
      <c r="C53" s="45">
        <f t="shared" si="26"/>
        <v>45</v>
      </c>
      <c r="D53" s="45">
        <f t="shared" si="26"/>
        <v>75</v>
      </c>
      <c r="E53" s="45">
        <f t="shared" si="26"/>
        <v>22.5</v>
      </c>
      <c r="F53" s="45">
        <f t="shared" si="26"/>
        <v>22.5</v>
      </c>
      <c r="G53" s="45">
        <f t="shared" si="26"/>
        <v>22.5</v>
      </c>
      <c r="H53" s="45">
        <f t="shared" si="26"/>
        <v>4.518072289156627</v>
      </c>
      <c r="I53" s="45">
        <f t="shared" si="26"/>
        <v>4.518072289156627</v>
      </c>
      <c r="J53" s="45">
        <f t="shared" si="26"/>
        <v>4.518072289156627</v>
      </c>
      <c r="K53" s="45">
        <f t="shared" si="26"/>
        <v>7.5</v>
      </c>
      <c r="L53" s="45">
        <f t="shared" si="26"/>
        <v>30</v>
      </c>
      <c r="M53" s="45">
        <f t="shared" si="26"/>
        <v>30</v>
      </c>
      <c r="N53" s="45">
        <f t="shared" si="26"/>
        <v>8.132530120481928</v>
      </c>
      <c r="O53" s="46">
        <f t="shared" si="26"/>
        <v>15</v>
      </c>
    </row>
    <row r="54" spans="1:15" ht="12.75">
      <c r="A54" s="47" t="s">
        <v>126</v>
      </c>
      <c r="B54" s="45">
        <f aca="true" t="shared" si="27" ref="B54:O54">((B49-(+B55+B56))/207.5)*107.5</f>
        <v>322.5</v>
      </c>
      <c r="C54" s="45">
        <f t="shared" si="27"/>
        <v>645</v>
      </c>
      <c r="D54" s="45">
        <f t="shared" si="27"/>
        <v>1075</v>
      </c>
      <c r="E54" s="45">
        <f t="shared" si="27"/>
        <v>322.5</v>
      </c>
      <c r="F54" s="45">
        <f t="shared" si="27"/>
        <v>322.5</v>
      </c>
      <c r="G54" s="45">
        <f t="shared" si="27"/>
        <v>322.5</v>
      </c>
      <c r="H54" s="45">
        <f t="shared" si="27"/>
        <v>64.75903614457832</v>
      </c>
      <c r="I54" s="45">
        <f t="shared" si="27"/>
        <v>64.75903614457832</v>
      </c>
      <c r="J54" s="45">
        <f t="shared" si="27"/>
        <v>64.75903614457832</v>
      </c>
      <c r="K54" s="45">
        <f t="shared" si="27"/>
        <v>107.5</v>
      </c>
      <c r="L54" s="45">
        <f t="shared" si="27"/>
        <v>459.5301204819277</v>
      </c>
      <c r="M54" s="45">
        <f t="shared" si="27"/>
        <v>459.5301204819277</v>
      </c>
      <c r="N54" s="45">
        <f t="shared" si="27"/>
        <v>116.56626506024095</v>
      </c>
      <c r="O54" s="46">
        <f t="shared" si="27"/>
        <v>215</v>
      </c>
    </row>
    <row r="55" spans="1:15" ht="12.75">
      <c r="A55" s="39" t="s">
        <v>212</v>
      </c>
      <c r="B55" s="45">
        <v>25</v>
      </c>
      <c r="C55" s="45">
        <v>25</v>
      </c>
      <c r="D55" s="45">
        <v>25</v>
      </c>
      <c r="E55" s="45">
        <v>25</v>
      </c>
      <c r="F55" s="45">
        <v>25</v>
      </c>
      <c r="G55" s="45">
        <v>25</v>
      </c>
      <c r="H55" s="45">
        <v>25</v>
      </c>
      <c r="I55" s="45">
        <v>25</v>
      </c>
      <c r="J55" s="45">
        <v>25</v>
      </c>
      <c r="K55" s="45">
        <v>25</v>
      </c>
      <c r="L55" s="45">
        <v>25</v>
      </c>
      <c r="M55" s="45">
        <v>25</v>
      </c>
      <c r="N55" s="45">
        <v>25</v>
      </c>
      <c r="O55" s="46">
        <v>125</v>
      </c>
    </row>
    <row r="56" spans="1:15" ht="12.75">
      <c r="A56" s="47" t="s">
        <v>175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>
        <v>80</v>
      </c>
      <c r="M56" s="45">
        <v>80</v>
      </c>
      <c r="N56" s="45">
        <v>25</v>
      </c>
      <c r="O56" s="46">
        <v>25</v>
      </c>
    </row>
    <row r="57" spans="1:15" ht="8.25" customHeight="1">
      <c r="A57" s="39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6"/>
    </row>
    <row r="58" spans="1:15" ht="12.75">
      <c r="A58" s="39" t="s">
        <v>127</v>
      </c>
      <c r="B58" s="45">
        <v>300</v>
      </c>
      <c r="C58" s="45">
        <v>600</v>
      </c>
      <c r="D58" s="45">
        <v>1000</v>
      </c>
      <c r="E58" s="45">
        <v>300</v>
      </c>
      <c r="F58" s="45">
        <v>300</v>
      </c>
      <c r="G58" s="45">
        <v>300</v>
      </c>
      <c r="H58" s="45">
        <v>0</v>
      </c>
      <c r="I58" s="45">
        <v>0</v>
      </c>
      <c r="J58" s="45">
        <v>0</v>
      </c>
      <c r="K58" s="45">
        <v>0</v>
      </c>
      <c r="L58" s="45">
        <v>400</v>
      </c>
      <c r="M58" s="45">
        <v>400</v>
      </c>
      <c r="N58" s="45">
        <v>100</v>
      </c>
      <c r="O58" s="46">
        <v>100</v>
      </c>
    </row>
    <row r="59" spans="1:15" ht="12.75">
      <c r="A59" s="39" t="s">
        <v>128</v>
      </c>
      <c r="B59" s="45">
        <f aca="true" t="shared" si="28" ref="B59:O59">B58*1.075</f>
        <v>322.5</v>
      </c>
      <c r="C59" s="45">
        <f t="shared" si="28"/>
        <v>645</v>
      </c>
      <c r="D59" s="45">
        <f t="shared" si="28"/>
        <v>1075</v>
      </c>
      <c r="E59" s="45">
        <f t="shared" si="28"/>
        <v>322.5</v>
      </c>
      <c r="F59" s="45">
        <f t="shared" si="28"/>
        <v>322.5</v>
      </c>
      <c r="G59" s="45">
        <f t="shared" si="28"/>
        <v>322.5</v>
      </c>
      <c r="H59" s="45">
        <f t="shared" si="28"/>
        <v>0</v>
      </c>
      <c r="I59" s="45">
        <f t="shared" si="28"/>
        <v>0</v>
      </c>
      <c r="J59" s="45">
        <f t="shared" si="28"/>
        <v>0</v>
      </c>
      <c r="K59" s="45">
        <f t="shared" si="28"/>
        <v>0</v>
      </c>
      <c r="L59" s="45">
        <f t="shared" si="28"/>
        <v>430</v>
      </c>
      <c r="M59" s="45">
        <f t="shared" si="28"/>
        <v>430</v>
      </c>
      <c r="N59" s="45">
        <f t="shared" si="28"/>
        <v>107.5</v>
      </c>
      <c r="O59" s="46">
        <f t="shared" si="28"/>
        <v>107.5</v>
      </c>
    </row>
    <row r="60" spans="1:15" ht="12.75">
      <c r="A60" s="39" t="s">
        <v>176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52">
        <v>25</v>
      </c>
      <c r="M60" s="52">
        <v>25</v>
      </c>
      <c r="N60" s="45">
        <v>25</v>
      </c>
      <c r="O60" s="46">
        <v>25</v>
      </c>
    </row>
    <row r="61" spans="1:15" ht="12.75">
      <c r="A61" s="39" t="s">
        <v>177</v>
      </c>
      <c r="B61" s="45">
        <v>0</v>
      </c>
      <c r="C61" s="45">
        <v>0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52">
        <v>112</v>
      </c>
      <c r="M61" s="52">
        <v>112</v>
      </c>
      <c r="N61" s="45">
        <v>0</v>
      </c>
      <c r="O61" s="46">
        <v>100</v>
      </c>
    </row>
    <row r="62" spans="1:15" ht="12.75">
      <c r="A62" s="39" t="s">
        <v>212</v>
      </c>
      <c r="B62" s="45">
        <v>25</v>
      </c>
      <c r="C62" s="45">
        <v>25</v>
      </c>
      <c r="D62" s="45">
        <v>25</v>
      </c>
      <c r="E62" s="45">
        <v>25</v>
      </c>
      <c r="F62" s="45">
        <v>25</v>
      </c>
      <c r="G62" s="45">
        <v>25</v>
      </c>
      <c r="H62" s="45">
        <v>25</v>
      </c>
      <c r="I62" s="45">
        <v>25</v>
      </c>
      <c r="J62" s="45">
        <v>25</v>
      </c>
      <c r="K62" s="45">
        <v>25</v>
      </c>
      <c r="L62" s="45">
        <v>25</v>
      </c>
      <c r="M62" s="45">
        <v>25</v>
      </c>
      <c r="N62" s="45">
        <v>25</v>
      </c>
      <c r="O62" s="46">
        <v>25</v>
      </c>
    </row>
    <row r="63" spans="1:15" ht="12.75">
      <c r="A63" s="109" t="s">
        <v>233</v>
      </c>
      <c r="B63" s="64">
        <f aca="true" t="shared" si="29" ref="B63:O63">B58+B59+B60+B61+B62</f>
        <v>647.5</v>
      </c>
      <c r="C63" s="64">
        <f t="shared" si="29"/>
        <v>1270</v>
      </c>
      <c r="D63" s="64">
        <f t="shared" si="29"/>
        <v>2100</v>
      </c>
      <c r="E63" s="64">
        <f t="shared" si="29"/>
        <v>647.5</v>
      </c>
      <c r="F63" s="64">
        <f t="shared" si="29"/>
        <v>647.5</v>
      </c>
      <c r="G63" s="64">
        <f t="shared" si="29"/>
        <v>647.5</v>
      </c>
      <c r="H63" s="64">
        <f t="shared" si="29"/>
        <v>25</v>
      </c>
      <c r="I63" s="64">
        <f t="shared" si="29"/>
        <v>25</v>
      </c>
      <c r="J63" s="64">
        <f t="shared" si="29"/>
        <v>25</v>
      </c>
      <c r="K63" s="64">
        <f t="shared" si="29"/>
        <v>25</v>
      </c>
      <c r="L63" s="64">
        <f t="shared" si="29"/>
        <v>992</v>
      </c>
      <c r="M63" s="64">
        <f t="shared" si="29"/>
        <v>992</v>
      </c>
      <c r="N63" s="64">
        <f t="shared" si="29"/>
        <v>257.5</v>
      </c>
      <c r="O63" s="110">
        <f t="shared" si="29"/>
        <v>357.5</v>
      </c>
    </row>
    <row r="64" spans="1:15" ht="25.5">
      <c r="A64" s="129"/>
      <c r="B64" s="127" t="s">
        <v>244</v>
      </c>
      <c r="C64" s="132" t="s">
        <v>265</v>
      </c>
      <c r="D64" s="132" t="s">
        <v>264</v>
      </c>
      <c r="E64" s="132" t="s">
        <v>266</v>
      </c>
      <c r="F64" s="132" t="s">
        <v>267</v>
      </c>
      <c r="G64" s="132" t="s">
        <v>268</v>
      </c>
      <c r="H64" s="45"/>
      <c r="I64" s="49"/>
      <c r="J64" s="49"/>
      <c r="K64" s="49"/>
      <c r="L64" s="49"/>
      <c r="M64" s="49"/>
      <c r="N64" s="49"/>
      <c r="O64" s="165" t="s">
        <v>288</v>
      </c>
    </row>
    <row r="65" spans="1:15" ht="12.75">
      <c r="A65" s="39" t="s">
        <v>129</v>
      </c>
      <c r="B65" s="45">
        <v>300</v>
      </c>
      <c r="C65" s="45">
        <v>600</v>
      </c>
      <c r="D65" s="45">
        <v>1000</v>
      </c>
      <c r="E65" s="45">
        <v>300</v>
      </c>
      <c r="F65" s="45">
        <v>300</v>
      </c>
      <c r="G65" s="45">
        <v>300</v>
      </c>
      <c r="H65" s="45">
        <v>100</v>
      </c>
      <c r="I65" s="45">
        <v>100</v>
      </c>
      <c r="J65" s="45">
        <v>100</v>
      </c>
      <c r="K65" s="45">
        <v>100</v>
      </c>
      <c r="L65" s="45">
        <v>400</v>
      </c>
      <c r="M65" s="45">
        <v>400</v>
      </c>
      <c r="N65" s="45">
        <v>200</v>
      </c>
      <c r="O65" s="46">
        <v>200</v>
      </c>
    </row>
    <row r="66" spans="1:15" ht="12.75">
      <c r="A66" s="39" t="s">
        <v>128</v>
      </c>
      <c r="B66" s="45">
        <f aca="true" t="shared" si="30" ref="B66:O66">B65*1.075</f>
        <v>322.5</v>
      </c>
      <c r="C66" s="45">
        <f t="shared" si="30"/>
        <v>645</v>
      </c>
      <c r="D66" s="45">
        <f t="shared" si="30"/>
        <v>1075</v>
      </c>
      <c r="E66" s="45">
        <f t="shared" si="30"/>
        <v>322.5</v>
      </c>
      <c r="F66" s="45">
        <f t="shared" si="30"/>
        <v>322.5</v>
      </c>
      <c r="G66" s="45">
        <f t="shared" si="30"/>
        <v>322.5</v>
      </c>
      <c r="H66" s="45">
        <f t="shared" si="30"/>
        <v>107.5</v>
      </c>
      <c r="I66" s="45">
        <f t="shared" si="30"/>
        <v>107.5</v>
      </c>
      <c r="J66" s="45">
        <f t="shared" si="30"/>
        <v>107.5</v>
      </c>
      <c r="K66" s="45">
        <f t="shared" si="30"/>
        <v>107.5</v>
      </c>
      <c r="L66" s="45">
        <f t="shared" si="30"/>
        <v>430</v>
      </c>
      <c r="M66" s="45">
        <f t="shared" si="30"/>
        <v>430</v>
      </c>
      <c r="N66" s="45">
        <f t="shared" si="30"/>
        <v>215</v>
      </c>
      <c r="O66" s="46">
        <f t="shared" si="30"/>
        <v>215</v>
      </c>
    </row>
    <row r="67" spans="1:15" ht="12.75">
      <c r="A67" s="39" t="s">
        <v>176</v>
      </c>
      <c r="B67" s="45">
        <v>0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5">
        <v>0</v>
      </c>
      <c r="K67" s="45">
        <v>0</v>
      </c>
      <c r="L67" s="52">
        <v>25</v>
      </c>
      <c r="M67" s="52">
        <v>25</v>
      </c>
      <c r="N67" s="45">
        <v>25</v>
      </c>
      <c r="O67" s="46">
        <v>25</v>
      </c>
    </row>
    <row r="68" spans="1:15" ht="12.75">
      <c r="A68" s="39" t="s">
        <v>177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52">
        <v>112</v>
      </c>
      <c r="M68" s="52">
        <v>112</v>
      </c>
      <c r="N68" s="45">
        <v>0</v>
      </c>
      <c r="O68" s="46">
        <v>100</v>
      </c>
    </row>
    <row r="69" spans="1:15" ht="12.75">
      <c r="A69" s="39" t="s">
        <v>212</v>
      </c>
      <c r="B69" s="45">
        <v>25</v>
      </c>
      <c r="C69" s="45">
        <v>25</v>
      </c>
      <c r="D69" s="45">
        <v>25</v>
      </c>
      <c r="E69" s="45">
        <v>25</v>
      </c>
      <c r="F69" s="45">
        <v>25</v>
      </c>
      <c r="G69" s="45">
        <v>25</v>
      </c>
      <c r="H69" s="45">
        <v>25</v>
      </c>
      <c r="I69" s="45">
        <v>25</v>
      </c>
      <c r="J69" s="45">
        <v>25</v>
      </c>
      <c r="K69" s="45">
        <v>25</v>
      </c>
      <c r="L69" s="45">
        <v>25</v>
      </c>
      <c r="M69" s="45">
        <v>25</v>
      </c>
      <c r="N69" s="45">
        <v>25</v>
      </c>
      <c r="O69" s="46">
        <v>25</v>
      </c>
    </row>
    <row r="70" spans="1:15" ht="12.75">
      <c r="A70" s="109" t="s">
        <v>234</v>
      </c>
      <c r="B70" s="64">
        <f aca="true" t="shared" si="31" ref="B70:O70">B65+B66+B67+B68+B69</f>
        <v>647.5</v>
      </c>
      <c r="C70" s="64">
        <f t="shared" si="31"/>
        <v>1270</v>
      </c>
      <c r="D70" s="64">
        <f t="shared" si="31"/>
        <v>2100</v>
      </c>
      <c r="E70" s="64">
        <f t="shared" si="31"/>
        <v>647.5</v>
      </c>
      <c r="F70" s="64">
        <f t="shared" si="31"/>
        <v>647.5</v>
      </c>
      <c r="G70" s="64">
        <f t="shared" si="31"/>
        <v>647.5</v>
      </c>
      <c r="H70" s="64">
        <f t="shared" si="31"/>
        <v>232.5</v>
      </c>
      <c r="I70" s="64">
        <f t="shared" si="31"/>
        <v>232.5</v>
      </c>
      <c r="J70" s="64">
        <f t="shared" si="31"/>
        <v>232.5</v>
      </c>
      <c r="K70" s="64">
        <f t="shared" si="31"/>
        <v>232.5</v>
      </c>
      <c r="L70" s="64">
        <f t="shared" si="31"/>
        <v>992</v>
      </c>
      <c r="M70" s="64">
        <f t="shared" si="31"/>
        <v>992</v>
      </c>
      <c r="N70" s="64">
        <f t="shared" si="31"/>
        <v>465</v>
      </c>
      <c r="O70" s="110">
        <f t="shared" si="31"/>
        <v>565</v>
      </c>
    </row>
    <row r="71" spans="1:15" ht="25.5">
      <c r="A71" s="128"/>
      <c r="B71" s="128" t="s">
        <v>244</v>
      </c>
      <c r="C71" s="144" t="s">
        <v>265</v>
      </c>
      <c r="D71" s="144" t="s">
        <v>264</v>
      </c>
      <c r="E71" s="144" t="s">
        <v>266</v>
      </c>
      <c r="F71" s="144" t="s">
        <v>267</v>
      </c>
      <c r="G71" s="144" t="s">
        <v>268</v>
      </c>
      <c r="H71" s="145"/>
      <c r="I71" s="145"/>
      <c r="J71" s="145"/>
      <c r="K71" s="145"/>
      <c r="L71" s="145"/>
      <c r="M71" s="21"/>
      <c r="N71" s="21"/>
      <c r="O71" s="165" t="s">
        <v>288</v>
      </c>
    </row>
    <row r="72" spans="1:15" ht="13.5" thickBot="1">
      <c r="A72" s="53"/>
      <c r="B72" s="53"/>
      <c r="C72" s="53"/>
      <c r="D72" s="53"/>
      <c r="E72" s="168" t="s">
        <v>178</v>
      </c>
      <c r="F72" s="53"/>
      <c r="G72" s="53"/>
      <c r="H72" s="54"/>
      <c r="I72" s="54"/>
      <c r="J72" s="28"/>
      <c r="K72" s="54"/>
      <c r="L72" s="54" t="s">
        <v>241</v>
      </c>
      <c r="M72" s="28"/>
      <c r="N72" s="54"/>
      <c r="O72" s="55"/>
    </row>
    <row r="73" ht="13.5" thickTop="1"/>
    <row r="74" ht="12.75">
      <c r="J74" s="49"/>
    </row>
  </sheetData>
  <mergeCells count="33">
    <mergeCell ref="N1:N2"/>
    <mergeCell ref="O1:O2"/>
    <mergeCell ref="H43:J43"/>
    <mergeCell ref="M43:M46"/>
    <mergeCell ref="N43:N46"/>
    <mergeCell ref="L43:L46"/>
    <mergeCell ref="K43:K46"/>
    <mergeCell ref="O43:O46"/>
    <mergeCell ref="I44:I46"/>
    <mergeCell ref="J44:J46"/>
    <mergeCell ref="B43:G43"/>
    <mergeCell ref="H1:H2"/>
    <mergeCell ref="L1:L2"/>
    <mergeCell ref="M1:M2"/>
    <mergeCell ref="F1:G1"/>
    <mergeCell ref="K1:K2"/>
    <mergeCell ref="J1:J2"/>
    <mergeCell ref="I1:I2"/>
    <mergeCell ref="B1:E1"/>
    <mergeCell ref="B45:D45"/>
    <mergeCell ref="B44:D44"/>
    <mergeCell ref="E44:G44"/>
    <mergeCell ref="F45:G45"/>
    <mergeCell ref="H44:H46"/>
    <mergeCell ref="A45:A46"/>
    <mergeCell ref="N22:N23"/>
    <mergeCell ref="G22:G23"/>
    <mergeCell ref="H22:H23"/>
    <mergeCell ref="L22:M22"/>
    <mergeCell ref="B22:F22"/>
    <mergeCell ref="K22:K23"/>
    <mergeCell ref="J22:J23"/>
    <mergeCell ref="I22:I23"/>
  </mergeCells>
  <printOptions gridLines="1"/>
  <pageMargins left="0.25" right="0.25" top="0.25" bottom="0.25" header="0.5" footer="0.5"/>
  <pageSetup fitToHeight="1" fitToWidth="1" horizontalDpi="600" verticalDpi="600" orientation="landscape" paperSize="3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3"/>
  <sheetViews>
    <sheetView workbookViewId="0" topLeftCell="A1">
      <selection activeCell="H207" sqref="H207"/>
    </sheetView>
  </sheetViews>
  <sheetFormatPr defaultColWidth="9.140625" defaultRowHeight="12.75"/>
  <cols>
    <col min="7" max="7" width="9.7109375" style="0" bestFit="1" customWidth="1"/>
    <col min="8" max="8" width="15.00390625" style="0" bestFit="1" customWidth="1"/>
    <col min="9" max="9" width="8.7109375" style="0" bestFit="1" customWidth="1"/>
  </cols>
  <sheetData>
    <row r="1" spans="7:9" ht="63.75">
      <c r="G1" s="2" t="s">
        <v>23</v>
      </c>
      <c r="H1" s="2" t="s">
        <v>24</v>
      </c>
      <c r="I1" s="2" t="s">
        <v>25</v>
      </c>
    </row>
    <row r="2" spans="1:9" ht="12.75">
      <c r="A2" s="10" t="s">
        <v>26</v>
      </c>
      <c r="B2" s="11"/>
      <c r="C2" s="11"/>
      <c r="D2" s="11"/>
      <c r="E2" s="11"/>
      <c r="F2" s="11"/>
      <c r="G2" s="11"/>
      <c r="H2" s="11"/>
      <c r="I2" s="11"/>
    </row>
    <row r="3" spans="1:9" ht="12.75">
      <c r="A3" s="11"/>
      <c r="B3" s="11" t="s">
        <v>27</v>
      </c>
      <c r="C3" s="11"/>
      <c r="D3" s="11"/>
      <c r="E3" s="11"/>
      <c r="F3" s="11"/>
      <c r="G3" s="11"/>
      <c r="H3" s="11"/>
      <c r="I3" s="11"/>
    </row>
    <row r="4" spans="1:9" ht="12.75">
      <c r="A4" s="11"/>
      <c r="B4" s="11"/>
      <c r="C4" s="11"/>
      <c r="D4" s="11"/>
      <c r="E4" s="11" t="s">
        <v>28</v>
      </c>
      <c r="F4" s="11"/>
      <c r="G4" s="12">
        <v>0</v>
      </c>
      <c r="H4" s="12">
        <v>200</v>
      </c>
      <c r="I4" s="12">
        <v>0.25</v>
      </c>
    </row>
    <row r="5" spans="1:9" ht="13.5" thickBot="1">
      <c r="A5" s="13"/>
      <c r="B5" s="13"/>
      <c r="C5" s="13"/>
      <c r="D5" s="13"/>
      <c r="E5" s="13"/>
      <c r="F5" s="13"/>
      <c r="G5" s="14"/>
      <c r="H5" s="14"/>
      <c r="I5" s="14"/>
    </row>
    <row r="6" spans="1:9" ht="12.75">
      <c r="A6" s="15"/>
      <c r="B6" s="15"/>
      <c r="C6" s="15"/>
      <c r="D6" s="15"/>
      <c r="E6" s="15"/>
      <c r="F6" s="15"/>
      <c r="G6" s="16"/>
      <c r="H6" s="16"/>
      <c r="I6" s="16"/>
    </row>
    <row r="7" spans="1:9" ht="12.75">
      <c r="A7" s="10" t="s">
        <v>29</v>
      </c>
      <c r="B7" s="11"/>
      <c r="C7" s="11"/>
      <c r="D7" s="11"/>
      <c r="E7" s="11"/>
      <c r="F7" s="11"/>
      <c r="G7" s="11"/>
      <c r="H7" s="11"/>
      <c r="I7" s="11"/>
    </row>
    <row r="8" spans="1:9" ht="12.75">
      <c r="A8" s="17"/>
      <c r="B8" s="17" t="s">
        <v>30</v>
      </c>
      <c r="C8" s="17"/>
      <c r="D8" s="17"/>
      <c r="E8" s="17"/>
      <c r="F8" s="17"/>
      <c r="G8" s="17"/>
      <c r="H8" s="17"/>
      <c r="I8" s="17"/>
    </row>
    <row r="9" spans="1:9" ht="12.75">
      <c r="A9" s="17"/>
      <c r="B9" s="17"/>
      <c r="C9" s="17"/>
      <c r="D9" s="17"/>
      <c r="E9" s="17" t="s">
        <v>28</v>
      </c>
      <c r="F9" s="17"/>
      <c r="G9" s="18">
        <v>5</v>
      </c>
      <c r="H9" s="18">
        <v>15</v>
      </c>
      <c r="I9" s="18">
        <v>1</v>
      </c>
    </row>
    <row r="10" spans="1:9" ht="12.75">
      <c r="A10" s="17"/>
      <c r="B10" s="17"/>
      <c r="C10" s="17"/>
      <c r="D10" s="17"/>
      <c r="E10" s="17" t="s">
        <v>28</v>
      </c>
      <c r="F10" s="17"/>
      <c r="G10" s="18">
        <v>15.01</v>
      </c>
      <c r="H10" s="18">
        <v>50</v>
      </c>
      <c r="I10" s="18">
        <v>2</v>
      </c>
    </row>
    <row r="11" spans="1:9" ht="12.75">
      <c r="A11" s="17"/>
      <c r="B11" s="17"/>
      <c r="C11" s="17"/>
      <c r="D11" s="17"/>
      <c r="E11" s="17" t="s">
        <v>28</v>
      </c>
      <c r="F11" s="17"/>
      <c r="G11" s="18">
        <v>50.01</v>
      </c>
      <c r="H11" s="18">
        <v>100</v>
      </c>
      <c r="I11" s="18">
        <v>3</v>
      </c>
    </row>
    <row r="12" spans="1:9" ht="12.75">
      <c r="A12" s="17"/>
      <c r="B12" s="17"/>
      <c r="C12" s="17"/>
      <c r="D12" s="17"/>
      <c r="E12" s="17" t="s">
        <v>28</v>
      </c>
      <c r="F12" s="17"/>
      <c r="G12" s="18">
        <v>100.01</v>
      </c>
      <c r="H12" s="19" t="s">
        <v>31</v>
      </c>
      <c r="I12" s="18">
        <v>5</v>
      </c>
    </row>
    <row r="13" spans="1:9" ht="12.7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17"/>
      <c r="B14" s="17" t="s">
        <v>32</v>
      </c>
      <c r="C14" s="17"/>
      <c r="D14" s="17"/>
      <c r="E14" s="17"/>
      <c r="F14" s="17"/>
      <c r="G14" s="17"/>
      <c r="H14" s="17"/>
      <c r="I14" s="17"/>
    </row>
    <row r="15" spans="1:9" ht="12.75">
      <c r="A15" s="17"/>
      <c r="B15" s="17"/>
      <c r="C15" s="17"/>
      <c r="D15" s="17"/>
      <c r="E15" s="17" t="s">
        <v>28</v>
      </c>
      <c r="F15" s="17"/>
      <c r="G15" s="18">
        <v>5</v>
      </c>
      <c r="H15" s="18">
        <v>15</v>
      </c>
      <c r="I15" s="18">
        <v>1</v>
      </c>
    </row>
    <row r="16" spans="1:9" ht="12.75">
      <c r="A16" s="17"/>
      <c r="B16" s="17"/>
      <c r="C16" s="17"/>
      <c r="D16" s="17"/>
      <c r="E16" s="17" t="s">
        <v>28</v>
      </c>
      <c r="F16" s="17"/>
      <c r="G16" s="18">
        <v>15.01</v>
      </c>
      <c r="H16" s="18">
        <v>50</v>
      </c>
      <c r="I16" s="18">
        <v>3</v>
      </c>
    </row>
    <row r="17" spans="1:9" ht="12.75">
      <c r="A17" s="17"/>
      <c r="B17" s="17"/>
      <c r="C17" s="17"/>
      <c r="D17" s="17"/>
      <c r="E17" s="17" t="s">
        <v>28</v>
      </c>
      <c r="F17" s="17"/>
      <c r="G17" s="18">
        <v>50.01</v>
      </c>
      <c r="H17" s="18">
        <v>100</v>
      </c>
      <c r="I17" s="18">
        <v>5</v>
      </c>
    </row>
    <row r="18" spans="1:9" ht="12.75">
      <c r="A18" s="17"/>
      <c r="B18" s="17"/>
      <c r="C18" s="17"/>
      <c r="D18" s="17"/>
      <c r="E18" s="17" t="s">
        <v>28</v>
      </c>
      <c r="F18" s="17"/>
      <c r="G18" s="18">
        <v>100.01</v>
      </c>
      <c r="H18" s="20">
        <v>200</v>
      </c>
      <c r="I18" s="18">
        <v>8</v>
      </c>
    </row>
    <row r="19" spans="1:9" ht="12.75">
      <c r="A19" s="17"/>
      <c r="B19" s="17"/>
      <c r="C19" s="17"/>
      <c r="D19" s="17"/>
      <c r="E19" s="17" t="s">
        <v>28</v>
      </c>
      <c r="F19" s="17"/>
      <c r="G19" s="18">
        <v>100.01</v>
      </c>
      <c r="H19" s="20">
        <v>500</v>
      </c>
      <c r="I19" s="18">
        <v>10</v>
      </c>
    </row>
    <row r="20" spans="1:9" ht="12.75">
      <c r="A20" s="17"/>
      <c r="B20" s="17"/>
      <c r="C20" s="17"/>
      <c r="D20" s="17"/>
      <c r="E20" s="17" t="s">
        <v>28</v>
      </c>
      <c r="F20" s="17"/>
      <c r="G20" s="18">
        <v>500.01</v>
      </c>
      <c r="H20" s="20">
        <v>1000</v>
      </c>
      <c r="I20" s="18">
        <v>12</v>
      </c>
    </row>
    <row r="21" spans="1:9" ht="12.75">
      <c r="A21" s="17"/>
      <c r="B21" s="17"/>
      <c r="C21" s="17"/>
      <c r="D21" s="17"/>
      <c r="E21" s="17" t="s">
        <v>28</v>
      </c>
      <c r="F21" s="17"/>
      <c r="G21" s="18">
        <v>1000.01</v>
      </c>
      <c r="H21" s="19" t="s">
        <v>31</v>
      </c>
      <c r="I21" s="18">
        <v>15</v>
      </c>
    </row>
    <row r="22" spans="1:9" ht="12.75">
      <c r="A22" s="17"/>
      <c r="B22" s="17"/>
      <c r="C22" s="17"/>
      <c r="D22" s="17"/>
      <c r="E22" s="17"/>
      <c r="F22" s="17"/>
      <c r="G22" s="17"/>
      <c r="H22" s="17"/>
      <c r="I22" s="17"/>
    </row>
    <row r="23" spans="1:9" ht="12.75">
      <c r="A23" s="17"/>
      <c r="B23" s="17" t="s">
        <v>33</v>
      </c>
      <c r="C23" s="17"/>
      <c r="D23" s="17"/>
      <c r="E23" s="17"/>
      <c r="F23" s="17"/>
      <c r="G23" s="17"/>
      <c r="H23" s="17"/>
      <c r="I23" s="17"/>
    </row>
    <row r="24" spans="1:9" ht="12.75">
      <c r="A24" s="17"/>
      <c r="B24" s="17"/>
      <c r="C24" s="17"/>
      <c r="D24" s="17"/>
      <c r="E24" s="17" t="s">
        <v>28</v>
      </c>
      <c r="F24" s="17"/>
      <c r="G24" s="18">
        <v>0.01</v>
      </c>
      <c r="H24" s="18">
        <v>200</v>
      </c>
      <c r="I24" s="18">
        <v>6</v>
      </c>
    </row>
    <row r="25" spans="1:9" ht="12.75">
      <c r="A25" s="17"/>
      <c r="B25" s="17"/>
      <c r="C25" s="17"/>
      <c r="D25" s="17"/>
      <c r="E25" s="17" t="s">
        <v>28</v>
      </c>
      <c r="F25" s="17"/>
      <c r="G25" s="18">
        <v>200.01</v>
      </c>
      <c r="H25" s="18">
        <v>499.99</v>
      </c>
      <c r="I25" s="18">
        <v>10</v>
      </c>
    </row>
    <row r="26" spans="1:9" ht="12.75">
      <c r="A26" s="17"/>
      <c r="B26" s="17"/>
      <c r="C26" s="17"/>
      <c r="D26" s="17"/>
      <c r="E26" s="17" t="s">
        <v>28</v>
      </c>
      <c r="F26" s="17"/>
      <c r="G26" s="18">
        <v>500</v>
      </c>
      <c r="H26" s="18">
        <v>999.99</v>
      </c>
      <c r="I26" s="18">
        <v>12</v>
      </c>
    </row>
    <row r="27" spans="1:9" ht="12.75">
      <c r="A27" s="17"/>
      <c r="B27" s="17"/>
      <c r="C27" s="17"/>
      <c r="D27" s="17"/>
      <c r="E27" s="17" t="s">
        <v>28</v>
      </c>
      <c r="F27" s="17"/>
      <c r="G27" s="18">
        <v>1000</v>
      </c>
      <c r="H27" s="19" t="s">
        <v>31</v>
      </c>
      <c r="I27" s="18">
        <v>15</v>
      </c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17"/>
    </row>
    <row r="29" spans="1:9" ht="12.75">
      <c r="A29" s="17"/>
      <c r="B29" s="17" t="s">
        <v>34</v>
      </c>
      <c r="C29" s="17"/>
      <c r="D29" s="17"/>
      <c r="E29" s="17"/>
      <c r="F29" s="17"/>
      <c r="G29" s="17"/>
      <c r="H29" s="17"/>
      <c r="I29" s="17"/>
    </row>
    <row r="30" spans="1:9" ht="12.75">
      <c r="A30" s="17"/>
      <c r="B30" s="17"/>
      <c r="C30" s="17"/>
      <c r="D30" s="17"/>
      <c r="E30" s="17" t="s">
        <v>28</v>
      </c>
      <c r="F30" s="17"/>
      <c r="G30" s="18">
        <v>0.01</v>
      </c>
      <c r="H30" s="18">
        <v>99</v>
      </c>
      <c r="I30" s="18">
        <v>6</v>
      </c>
    </row>
    <row r="31" spans="1:9" ht="12.75">
      <c r="A31" s="17"/>
      <c r="B31" s="17"/>
      <c r="C31" s="17"/>
      <c r="D31" s="17"/>
      <c r="E31" s="17" t="s">
        <v>28</v>
      </c>
      <c r="F31" s="17"/>
      <c r="G31" s="18">
        <v>99.01</v>
      </c>
      <c r="H31" s="18">
        <v>200</v>
      </c>
      <c r="I31" s="18">
        <v>25</v>
      </c>
    </row>
    <row r="32" spans="1:9" ht="12.75">
      <c r="A32" s="17"/>
      <c r="B32" s="17"/>
      <c r="C32" s="17"/>
      <c r="D32" s="17"/>
      <c r="E32" s="17" t="s">
        <v>28</v>
      </c>
      <c r="F32" s="17"/>
      <c r="G32" s="18">
        <v>200.01</v>
      </c>
      <c r="H32" s="18">
        <v>500</v>
      </c>
      <c r="I32" s="18">
        <v>100</v>
      </c>
    </row>
    <row r="33" spans="1:9" ht="12.75">
      <c r="A33" s="17"/>
      <c r="B33" s="17"/>
      <c r="C33" s="17"/>
      <c r="D33" s="17"/>
      <c r="E33" s="17" t="s">
        <v>28</v>
      </c>
      <c r="F33" s="17"/>
      <c r="G33" s="18">
        <v>500</v>
      </c>
      <c r="H33" s="18">
        <v>1000</v>
      </c>
      <c r="I33" s="18">
        <v>100</v>
      </c>
    </row>
    <row r="34" spans="1:9" ht="13.5" thickBot="1">
      <c r="A34" s="13"/>
      <c r="B34" s="13"/>
      <c r="C34" s="13"/>
      <c r="D34" s="13"/>
      <c r="E34" s="13"/>
      <c r="F34" s="13"/>
      <c r="G34" s="13"/>
      <c r="H34" s="13"/>
      <c r="I34" s="13"/>
    </row>
    <row r="35" spans="1:9" ht="12.75">
      <c r="A35" s="21"/>
      <c r="B35" s="21"/>
      <c r="C35" s="21"/>
      <c r="D35" s="21"/>
      <c r="E35" s="21"/>
      <c r="F35" s="21"/>
      <c r="G35" s="21"/>
      <c r="H35" s="21"/>
      <c r="I35" s="21"/>
    </row>
    <row r="36" spans="1:9" ht="12.75">
      <c r="A36" s="10" t="s">
        <v>35</v>
      </c>
      <c r="B36" s="11"/>
      <c r="C36" s="11"/>
      <c r="D36" s="11"/>
      <c r="E36" s="11"/>
      <c r="F36" s="11"/>
      <c r="G36" s="11"/>
      <c r="H36" s="11"/>
      <c r="I36" s="11"/>
    </row>
    <row r="37" spans="1:9" ht="12.75">
      <c r="A37" s="17"/>
      <c r="B37" s="17" t="s">
        <v>36</v>
      </c>
      <c r="C37" s="17"/>
      <c r="D37" s="17"/>
      <c r="E37" s="17"/>
      <c r="F37" s="17"/>
      <c r="G37" s="17"/>
      <c r="H37" s="17"/>
      <c r="I37" s="17"/>
    </row>
    <row r="38" spans="1:9" ht="12.75">
      <c r="A38" s="17"/>
      <c r="B38" s="17"/>
      <c r="C38" s="17"/>
      <c r="D38" s="17"/>
      <c r="E38" s="17" t="s">
        <v>28</v>
      </c>
      <c r="F38" s="17"/>
      <c r="G38" s="18">
        <v>0</v>
      </c>
      <c r="H38" s="18">
        <v>200</v>
      </c>
      <c r="I38" s="18">
        <v>2</v>
      </c>
    </row>
    <row r="39" spans="1:9" ht="12.75">
      <c r="A39" s="17"/>
      <c r="B39" s="17"/>
      <c r="C39" s="17"/>
      <c r="D39" s="17"/>
      <c r="E39" s="17"/>
      <c r="F39" s="17"/>
      <c r="G39" s="17"/>
      <c r="H39" s="17"/>
      <c r="I39" s="17"/>
    </row>
    <row r="40" spans="1:9" ht="12.75">
      <c r="A40" s="17"/>
      <c r="B40" s="17" t="s">
        <v>37</v>
      </c>
      <c r="C40" s="17"/>
      <c r="D40" s="17"/>
      <c r="E40" s="17"/>
      <c r="F40" s="17"/>
      <c r="G40" s="17"/>
      <c r="H40" s="17"/>
      <c r="I40" s="17"/>
    </row>
    <row r="41" spans="1:9" ht="12.75">
      <c r="A41" s="17"/>
      <c r="B41" s="17"/>
      <c r="C41" s="17"/>
      <c r="D41" s="17"/>
      <c r="E41" s="17" t="s">
        <v>28</v>
      </c>
      <c r="F41" s="17"/>
      <c r="G41" s="18">
        <v>0</v>
      </c>
      <c r="H41" s="18">
        <v>200</v>
      </c>
      <c r="I41" s="18">
        <v>4</v>
      </c>
    </row>
    <row r="42" spans="1:9" ht="12.75">
      <c r="A42" s="17"/>
      <c r="B42" s="17"/>
      <c r="C42" s="17"/>
      <c r="D42" s="17"/>
      <c r="E42" s="17"/>
      <c r="F42" s="17"/>
      <c r="G42" s="17"/>
      <c r="H42" s="17"/>
      <c r="I42" s="17"/>
    </row>
    <row r="43" spans="1:9" ht="12.75">
      <c r="A43" s="17"/>
      <c r="B43" s="17" t="s">
        <v>38</v>
      </c>
      <c r="C43" s="17"/>
      <c r="D43" s="17"/>
      <c r="E43" s="17"/>
      <c r="F43" s="17"/>
      <c r="G43" s="17"/>
      <c r="H43" s="17"/>
      <c r="I43" s="17"/>
    </row>
    <row r="44" spans="1:9" ht="12.75">
      <c r="A44" s="17"/>
      <c r="B44" s="17"/>
      <c r="C44" s="17"/>
      <c r="D44" s="17"/>
      <c r="E44" s="17" t="s">
        <v>28</v>
      </c>
      <c r="F44" s="17"/>
      <c r="G44" s="18">
        <v>0</v>
      </c>
      <c r="H44" s="18">
        <v>200</v>
      </c>
      <c r="I44" s="18">
        <v>9</v>
      </c>
    </row>
    <row r="45" spans="1:9" ht="12.75">
      <c r="A45" s="17"/>
      <c r="B45" s="17"/>
      <c r="C45" s="17"/>
      <c r="D45" s="17"/>
      <c r="E45" s="17"/>
      <c r="F45" s="17"/>
      <c r="G45" s="18"/>
      <c r="H45" s="18"/>
      <c r="I45" s="18"/>
    </row>
    <row r="46" spans="1:9" ht="12.75">
      <c r="A46" s="17"/>
      <c r="B46" s="17"/>
      <c r="C46" s="22" t="s">
        <v>39</v>
      </c>
      <c r="D46" s="17"/>
      <c r="E46" s="17"/>
      <c r="F46" s="17"/>
      <c r="G46" s="18"/>
      <c r="H46" s="18"/>
      <c r="I46" s="18"/>
    </row>
    <row r="47" spans="1:9" ht="12.75">
      <c r="A47" s="17"/>
      <c r="B47" s="17"/>
      <c r="C47" s="22" t="s">
        <v>40</v>
      </c>
      <c r="D47" s="17"/>
      <c r="E47" s="17"/>
      <c r="F47" s="17"/>
      <c r="G47" s="17"/>
      <c r="H47" s="17"/>
      <c r="I47" s="17"/>
    </row>
    <row r="48" spans="1:9" ht="13.5" thickBot="1">
      <c r="A48" s="13"/>
      <c r="B48" s="13"/>
      <c r="C48" s="13"/>
      <c r="D48" s="13"/>
      <c r="E48" s="13"/>
      <c r="F48" s="13"/>
      <c r="G48" s="13"/>
      <c r="H48" s="13"/>
      <c r="I48" s="13"/>
    </row>
    <row r="49" spans="1:9" ht="12.75">
      <c r="A49" s="21"/>
      <c r="B49" s="21"/>
      <c r="C49" s="21"/>
      <c r="D49" s="21"/>
      <c r="E49" s="21"/>
      <c r="F49" s="21"/>
      <c r="G49" s="21"/>
      <c r="H49" s="21"/>
      <c r="I49" s="21"/>
    </row>
    <row r="50" spans="1:9" ht="12.75">
      <c r="A50" s="10" t="s">
        <v>41</v>
      </c>
      <c r="B50" s="11"/>
      <c r="C50" s="11"/>
      <c r="D50" s="11"/>
      <c r="E50" s="11"/>
      <c r="F50" s="11"/>
      <c r="G50" s="11"/>
      <c r="H50" s="11"/>
      <c r="I50" s="11"/>
    </row>
    <row r="51" spans="1:9" ht="12.75">
      <c r="A51" s="17"/>
      <c r="B51" s="17" t="s">
        <v>42</v>
      </c>
      <c r="C51" s="17"/>
      <c r="D51" s="17"/>
      <c r="E51" s="17"/>
      <c r="F51" s="17"/>
      <c r="G51" s="17"/>
      <c r="H51" s="17"/>
      <c r="I51" s="17"/>
    </row>
    <row r="52" spans="1:9" ht="12.75">
      <c r="A52" s="17"/>
      <c r="B52" s="17"/>
      <c r="C52" s="17"/>
      <c r="D52" s="17"/>
      <c r="E52" s="17" t="s">
        <v>43</v>
      </c>
      <c r="F52" s="17"/>
      <c r="G52" s="18">
        <v>0</v>
      </c>
      <c r="H52" s="18">
        <v>200</v>
      </c>
      <c r="I52" s="18">
        <v>7.5</v>
      </c>
    </row>
    <row r="53" spans="1:9" ht="12.75">
      <c r="A53" s="17"/>
      <c r="B53" s="17"/>
      <c r="C53" s="17"/>
      <c r="D53" s="17"/>
      <c r="E53" s="17"/>
      <c r="F53" s="17"/>
      <c r="G53" s="17"/>
      <c r="H53" s="17"/>
      <c r="I53" s="17"/>
    </row>
    <row r="54" spans="1:9" ht="12.75">
      <c r="A54" s="17"/>
      <c r="B54" s="17" t="s">
        <v>44</v>
      </c>
      <c r="C54" s="17"/>
      <c r="D54" s="17"/>
      <c r="E54" s="17"/>
      <c r="F54" s="17"/>
      <c r="G54" s="17"/>
      <c r="H54" s="17"/>
      <c r="I54" s="17"/>
    </row>
    <row r="55" spans="1:9" ht="12.75">
      <c r="A55" s="17"/>
      <c r="B55" s="17"/>
      <c r="C55" s="17"/>
      <c r="D55" s="17"/>
      <c r="E55" s="17" t="s">
        <v>43</v>
      </c>
      <c r="F55" s="17"/>
      <c r="G55" s="18">
        <v>0</v>
      </c>
      <c r="H55" s="18">
        <v>200</v>
      </c>
      <c r="I55" s="18">
        <v>7.5</v>
      </c>
    </row>
    <row r="56" spans="1:9" ht="12.75">
      <c r="A56" s="17"/>
      <c r="B56" s="17"/>
      <c r="C56" s="17"/>
      <c r="D56" s="17"/>
      <c r="E56" s="17"/>
      <c r="F56" s="17"/>
      <c r="G56" s="17"/>
      <c r="H56" s="17"/>
      <c r="I56" s="17"/>
    </row>
    <row r="57" spans="1:9" ht="12.75">
      <c r="A57" s="17"/>
      <c r="B57" s="17" t="s">
        <v>45</v>
      </c>
      <c r="C57" s="17"/>
      <c r="D57" s="17"/>
      <c r="E57" s="17"/>
      <c r="F57" s="17"/>
      <c r="G57" s="17"/>
      <c r="H57" s="17"/>
      <c r="I57" s="17"/>
    </row>
    <row r="58" spans="1:9" ht="12.75">
      <c r="A58" s="17"/>
      <c r="B58" s="17"/>
      <c r="C58" s="17"/>
      <c r="D58" s="17"/>
      <c r="E58" s="17" t="s">
        <v>46</v>
      </c>
      <c r="F58" s="17"/>
      <c r="G58" s="18">
        <v>0</v>
      </c>
      <c r="H58" s="18">
        <v>200</v>
      </c>
      <c r="I58" s="18">
        <v>7.5</v>
      </c>
    </row>
    <row r="59" spans="1:9" ht="12.75">
      <c r="A59" s="17"/>
      <c r="B59" s="17"/>
      <c r="C59" s="17"/>
      <c r="D59" s="17"/>
      <c r="E59" s="17" t="s">
        <v>47</v>
      </c>
      <c r="F59" s="17"/>
      <c r="G59" s="18">
        <v>0</v>
      </c>
      <c r="H59" s="18">
        <v>200</v>
      </c>
      <c r="I59" s="18">
        <v>14</v>
      </c>
    </row>
    <row r="60" spans="1:9" ht="12.75">
      <c r="A60" s="21"/>
      <c r="B60" s="21"/>
      <c r="C60" s="21"/>
      <c r="D60" s="21"/>
      <c r="E60" s="21"/>
      <c r="F60" s="21"/>
      <c r="G60" s="23"/>
      <c r="H60" s="23"/>
      <c r="I60" s="23"/>
    </row>
    <row r="61" spans="1:9" ht="12.75">
      <c r="A61" s="21"/>
      <c r="B61" s="21"/>
      <c r="C61" s="24" t="s">
        <v>48</v>
      </c>
      <c r="D61" s="21"/>
      <c r="E61" s="21"/>
      <c r="F61" s="21"/>
      <c r="G61" s="23"/>
      <c r="H61" s="23"/>
      <c r="I61" s="23"/>
    </row>
    <row r="62" spans="1:9" ht="12.75">
      <c r="A62" s="21"/>
      <c r="B62" s="21"/>
      <c r="C62" s="24" t="s">
        <v>49</v>
      </c>
      <c r="D62" s="21"/>
      <c r="E62" s="21"/>
      <c r="F62" s="21"/>
      <c r="G62" s="21"/>
      <c r="H62" s="21"/>
      <c r="I62" s="21"/>
    </row>
    <row r="63" spans="1:9" ht="12.75">
      <c r="A63" s="21"/>
      <c r="B63" s="21"/>
      <c r="C63" s="24" t="s">
        <v>50</v>
      </c>
      <c r="D63" s="21"/>
      <c r="E63" s="21"/>
      <c r="F63" s="21"/>
      <c r="G63" s="21"/>
      <c r="H63" s="21"/>
      <c r="I63" s="21"/>
    </row>
    <row r="64" spans="1:9" ht="12.75">
      <c r="A64" s="21"/>
      <c r="B64" s="21"/>
      <c r="C64" s="24" t="s">
        <v>51</v>
      </c>
      <c r="D64" s="21"/>
      <c r="E64" s="21"/>
      <c r="F64" s="21"/>
      <c r="G64" s="21"/>
      <c r="H64" s="21"/>
      <c r="I64" s="21"/>
    </row>
    <row r="65" spans="1:9" ht="12.75">
      <c r="A65" s="21"/>
      <c r="B65" s="21"/>
      <c r="C65" s="24"/>
      <c r="D65" s="21"/>
      <c r="E65" s="21"/>
      <c r="F65" s="21"/>
      <c r="G65" s="21"/>
      <c r="H65" s="21"/>
      <c r="I65" s="21"/>
    </row>
    <row r="66" spans="1:9" ht="12.75">
      <c r="A66" s="21"/>
      <c r="B66" s="21"/>
      <c r="C66" s="24"/>
      <c r="D66" s="21"/>
      <c r="E66" s="21"/>
      <c r="F66" s="21"/>
      <c r="G66" s="21"/>
      <c r="H66" s="21"/>
      <c r="I66" s="21"/>
    </row>
    <row r="67" spans="1:9" ht="12.75">
      <c r="A67" s="21"/>
      <c r="B67" s="21"/>
      <c r="C67" s="24"/>
      <c r="D67" s="21"/>
      <c r="E67" s="21"/>
      <c r="F67" s="21"/>
      <c r="G67" s="21"/>
      <c r="H67" s="21"/>
      <c r="I67" s="21"/>
    </row>
    <row r="68" spans="1:9" ht="12.75">
      <c r="A68" s="21"/>
      <c r="B68" s="21"/>
      <c r="C68" s="24"/>
      <c r="D68" s="21"/>
      <c r="E68" s="21"/>
      <c r="F68" s="21"/>
      <c r="G68" s="21"/>
      <c r="H68" s="21"/>
      <c r="I68" s="21"/>
    </row>
    <row r="69" spans="1:9" ht="13.5" thickBot="1">
      <c r="A69" s="25"/>
      <c r="B69" s="25"/>
      <c r="C69" s="26"/>
      <c r="D69" s="25"/>
      <c r="E69" s="25"/>
      <c r="F69" s="25"/>
      <c r="G69" s="25"/>
      <c r="H69" s="25"/>
      <c r="I69" s="25"/>
    </row>
    <row r="70" spans="1:9" ht="12.75">
      <c r="A70" s="21"/>
      <c r="B70" s="21"/>
      <c r="C70" s="24"/>
      <c r="D70" s="21"/>
      <c r="E70" s="21"/>
      <c r="F70" s="21"/>
      <c r="G70" s="21"/>
      <c r="H70" s="21"/>
      <c r="I70" s="21"/>
    </row>
    <row r="71" spans="1:9" ht="12.75">
      <c r="A71" s="10" t="s">
        <v>52</v>
      </c>
      <c r="B71" s="11"/>
      <c r="C71" s="11"/>
      <c r="D71" s="11"/>
      <c r="E71" s="11"/>
      <c r="F71" s="11"/>
      <c r="G71" s="11"/>
      <c r="H71" s="11"/>
      <c r="I71" s="11"/>
    </row>
    <row r="72" spans="1:9" ht="12.75">
      <c r="A72" s="17"/>
      <c r="B72" s="17" t="s">
        <v>53</v>
      </c>
      <c r="C72" s="17"/>
      <c r="D72" s="17"/>
      <c r="E72" s="17"/>
      <c r="F72" s="17"/>
      <c r="G72" s="17"/>
      <c r="H72" s="17"/>
      <c r="I72" s="17"/>
    </row>
    <row r="73" spans="1:9" ht="12.75">
      <c r="A73" s="17"/>
      <c r="B73" s="17"/>
      <c r="C73" s="17"/>
      <c r="D73" s="17"/>
      <c r="E73" s="17" t="s">
        <v>54</v>
      </c>
      <c r="F73" s="17"/>
      <c r="G73" s="18"/>
      <c r="H73" s="18"/>
      <c r="I73" s="18">
        <v>50</v>
      </c>
    </row>
    <row r="74" spans="1:9" ht="12.75">
      <c r="A74" s="17"/>
      <c r="B74" s="17"/>
      <c r="C74" s="17"/>
      <c r="D74" s="17"/>
      <c r="E74" s="17" t="s">
        <v>55</v>
      </c>
      <c r="F74" s="17"/>
      <c r="G74" s="17"/>
      <c r="H74" s="17"/>
      <c r="I74" s="18">
        <v>0</v>
      </c>
    </row>
    <row r="75" spans="1:9" ht="12.75">
      <c r="A75" s="17"/>
      <c r="B75" s="17"/>
      <c r="C75" s="17"/>
      <c r="D75" s="17"/>
      <c r="E75" s="17" t="s">
        <v>56</v>
      </c>
      <c r="F75" s="17"/>
      <c r="G75" s="17"/>
      <c r="H75" s="17"/>
      <c r="I75" s="18">
        <v>0</v>
      </c>
    </row>
    <row r="76" spans="1:9" ht="13.5" thickBot="1">
      <c r="A76" s="13"/>
      <c r="B76" s="13"/>
      <c r="C76" s="13"/>
      <c r="D76" s="13"/>
      <c r="E76" s="13"/>
      <c r="F76" s="13"/>
      <c r="G76" s="13"/>
      <c r="H76" s="13"/>
      <c r="I76" s="13"/>
    </row>
    <row r="77" spans="1:9" ht="12.75">
      <c r="A77" s="21"/>
      <c r="B77" s="21"/>
      <c r="C77" s="21"/>
      <c r="D77" s="21"/>
      <c r="E77" s="21"/>
      <c r="F77" s="21"/>
      <c r="G77" s="21"/>
      <c r="H77" s="21"/>
      <c r="I77" s="21"/>
    </row>
    <row r="78" spans="1:9" ht="12.75">
      <c r="A78" s="24" t="s">
        <v>57</v>
      </c>
      <c r="B78" s="21"/>
      <c r="C78" s="21"/>
      <c r="D78" s="21"/>
      <c r="E78" s="21"/>
      <c r="F78" s="21"/>
      <c r="G78" s="21"/>
      <c r="H78" s="21"/>
      <c r="I78" s="21"/>
    </row>
    <row r="79" spans="1:9" ht="12.75">
      <c r="A79" s="17"/>
      <c r="B79" s="17" t="s">
        <v>58</v>
      </c>
      <c r="C79" s="17"/>
      <c r="D79" s="17"/>
      <c r="E79" s="17"/>
      <c r="F79" s="17"/>
      <c r="G79" s="17"/>
      <c r="H79" s="17"/>
      <c r="I79" s="17"/>
    </row>
    <row r="80" spans="1:9" ht="12.75">
      <c r="A80" s="17"/>
      <c r="B80" s="17"/>
      <c r="C80" s="17"/>
      <c r="D80" s="17"/>
      <c r="E80" s="17" t="s">
        <v>59</v>
      </c>
      <c r="F80" s="17"/>
      <c r="G80" s="18"/>
      <c r="H80" s="18"/>
      <c r="I80" s="18">
        <v>25</v>
      </c>
    </row>
    <row r="81" spans="1:9" ht="12.75">
      <c r="A81" s="21"/>
      <c r="B81" s="21"/>
      <c r="C81" s="21"/>
      <c r="D81" s="21"/>
      <c r="E81" s="21"/>
      <c r="F81" s="21"/>
      <c r="G81" s="23"/>
      <c r="H81" s="23"/>
      <c r="I81" s="23"/>
    </row>
    <row r="82" spans="1:9" ht="12.75">
      <c r="A82" s="21"/>
      <c r="B82" s="21"/>
      <c r="C82" s="24" t="s">
        <v>60</v>
      </c>
      <c r="D82" s="21"/>
      <c r="E82" s="21"/>
      <c r="F82" s="21"/>
      <c r="G82" s="23"/>
      <c r="H82" s="23"/>
      <c r="I82" s="23"/>
    </row>
    <row r="83" spans="1:9" ht="13.5" thickBot="1">
      <c r="A83" s="25"/>
      <c r="B83" s="25"/>
      <c r="C83" s="25"/>
      <c r="D83" s="25"/>
      <c r="E83" s="25"/>
      <c r="F83" s="25"/>
      <c r="G83" s="25"/>
      <c r="H83" s="25"/>
      <c r="I83" s="25"/>
    </row>
    <row r="84" spans="1:9" ht="12.75">
      <c r="A84" s="15"/>
      <c r="B84" s="15"/>
      <c r="C84" s="15"/>
      <c r="D84" s="15"/>
      <c r="E84" s="15"/>
      <c r="F84" s="15"/>
      <c r="G84" s="15"/>
      <c r="H84" s="15"/>
      <c r="I84" s="15"/>
    </row>
    <row r="85" spans="1:9" ht="12.75">
      <c r="A85" s="10" t="s">
        <v>61</v>
      </c>
      <c r="B85" s="11"/>
      <c r="C85" s="11"/>
      <c r="D85" s="11"/>
      <c r="E85" s="11"/>
      <c r="F85" s="11"/>
      <c r="G85" s="11"/>
      <c r="H85" s="11"/>
      <c r="I85" s="11"/>
    </row>
    <row r="86" spans="1:9" ht="12.75">
      <c r="A86" s="17"/>
      <c r="B86" s="17" t="s">
        <v>62</v>
      </c>
      <c r="C86" s="17"/>
      <c r="D86" s="17"/>
      <c r="E86" s="17"/>
      <c r="F86" s="17"/>
      <c r="G86" s="17"/>
      <c r="H86" s="17"/>
      <c r="I86" s="17"/>
    </row>
    <row r="87" spans="1:9" ht="12.75">
      <c r="A87" s="21"/>
      <c r="B87" s="21"/>
      <c r="C87" s="21"/>
      <c r="D87" s="21"/>
      <c r="E87" s="21"/>
      <c r="F87" s="21"/>
      <c r="G87" s="21"/>
      <c r="H87" s="21"/>
      <c r="I87" s="21"/>
    </row>
    <row r="88" spans="1:9" ht="12.75">
      <c r="A88" s="21"/>
      <c r="B88" s="21"/>
      <c r="C88" s="24" t="s">
        <v>63</v>
      </c>
      <c r="D88" s="21"/>
      <c r="E88" s="21"/>
      <c r="F88" s="21"/>
      <c r="G88" s="23"/>
      <c r="H88" s="23"/>
      <c r="I88" s="23"/>
    </row>
    <row r="89" spans="1:9" ht="12.75">
      <c r="A89" s="21"/>
      <c r="B89" s="21"/>
      <c r="C89" s="24" t="s">
        <v>64</v>
      </c>
      <c r="D89" s="21"/>
      <c r="E89" s="21"/>
      <c r="F89" s="21"/>
      <c r="G89" s="21"/>
      <c r="H89" s="21"/>
      <c r="I89" s="21"/>
    </row>
    <row r="90" spans="1:9" ht="12.75">
      <c r="A90" s="21"/>
      <c r="B90" s="21"/>
      <c r="C90" s="24" t="s">
        <v>65</v>
      </c>
      <c r="D90" s="21"/>
      <c r="E90" s="21"/>
      <c r="F90" s="21"/>
      <c r="G90" s="21"/>
      <c r="H90" s="21"/>
      <c r="I90" s="21"/>
    </row>
    <row r="91" spans="1:9" ht="12.75">
      <c r="A91" s="27"/>
      <c r="B91" s="27"/>
      <c r="C91" s="27"/>
      <c r="D91" s="27"/>
      <c r="E91" s="27"/>
      <c r="F91" s="27"/>
      <c r="G91" s="27"/>
      <c r="H91" s="27"/>
      <c r="I91" s="27"/>
    </row>
    <row r="92" spans="1:9" ht="13.5" thickBot="1">
      <c r="A92" s="28"/>
      <c r="B92" s="28"/>
      <c r="C92" s="28"/>
      <c r="D92" s="28"/>
      <c r="E92" s="28"/>
      <c r="F92" s="28"/>
      <c r="G92" s="28"/>
      <c r="H92" s="28"/>
      <c r="I92" s="28"/>
    </row>
    <row r="93" ht="13.5" thickTop="1"/>
    <row r="94" ht="20.25">
      <c r="B94" s="29" t="s">
        <v>66</v>
      </c>
    </row>
    <row r="95" spans="2:4" ht="20.25">
      <c r="B95" s="29"/>
      <c r="D95" s="30" t="s">
        <v>67</v>
      </c>
    </row>
    <row r="96" spans="1:9" ht="13.5" thickBot="1">
      <c r="A96" s="28"/>
      <c r="B96" s="28"/>
      <c r="C96" s="28"/>
      <c r="D96" s="28"/>
      <c r="E96" s="28"/>
      <c r="F96" s="28"/>
      <c r="G96" s="28"/>
      <c r="H96" s="28"/>
      <c r="I96" s="28"/>
    </row>
    <row r="97" ht="13.5" thickTop="1"/>
    <row r="98" spans="1:9" ht="12.75">
      <c r="A98" s="21"/>
      <c r="B98" s="21"/>
      <c r="C98" s="21"/>
      <c r="D98" s="21"/>
      <c r="E98" s="21"/>
      <c r="F98" s="21"/>
      <c r="G98" s="21"/>
      <c r="H98" s="21"/>
      <c r="I98" s="21"/>
    </row>
    <row r="99" spans="1:9" ht="12.75">
      <c r="A99" s="21"/>
      <c r="B99" s="24" t="s">
        <v>68</v>
      </c>
      <c r="C99" s="21"/>
      <c r="D99" s="21"/>
      <c r="E99" s="21"/>
      <c r="F99" s="21"/>
      <c r="H99" s="21"/>
      <c r="I99" s="31" t="s">
        <v>69</v>
      </c>
    </row>
    <row r="100" spans="1:9" ht="12.75">
      <c r="A100" s="17"/>
      <c r="B100" s="17"/>
      <c r="C100" s="17" t="s">
        <v>70</v>
      </c>
      <c r="D100" s="17"/>
      <c r="E100" s="17"/>
      <c r="F100" s="17" t="s">
        <v>71</v>
      </c>
      <c r="G100" s="17"/>
      <c r="H100" s="17" t="s">
        <v>72</v>
      </c>
      <c r="I100" s="32">
        <v>0.62</v>
      </c>
    </row>
    <row r="101" spans="1:9" ht="12.75">
      <c r="A101" s="17"/>
      <c r="B101" s="17"/>
      <c r="C101" s="17" t="s">
        <v>73</v>
      </c>
      <c r="D101" s="17"/>
      <c r="E101" s="17"/>
      <c r="F101" s="17" t="s">
        <v>71</v>
      </c>
      <c r="G101" s="17"/>
      <c r="H101" s="17" t="s">
        <v>74</v>
      </c>
      <c r="I101" s="32">
        <v>0.88</v>
      </c>
    </row>
    <row r="102" spans="1:9" ht="12.75">
      <c r="A102" s="17"/>
      <c r="B102" s="17"/>
      <c r="C102" s="17" t="s">
        <v>75</v>
      </c>
      <c r="D102" s="17"/>
      <c r="E102" s="17"/>
      <c r="F102" s="17" t="s">
        <v>71</v>
      </c>
      <c r="G102" s="17"/>
      <c r="H102" s="17" t="s">
        <v>76</v>
      </c>
      <c r="I102" s="32">
        <v>0.52</v>
      </c>
    </row>
    <row r="103" spans="1:9" ht="12.75">
      <c r="A103" s="21"/>
      <c r="B103" s="21"/>
      <c r="C103" s="21"/>
      <c r="D103" s="21"/>
      <c r="E103" s="21"/>
      <c r="F103" s="21"/>
      <c r="G103" s="21"/>
      <c r="H103" s="21"/>
      <c r="I103" s="21"/>
    </row>
    <row r="104" spans="1:9" ht="12.75">
      <c r="A104" s="21"/>
      <c r="B104" s="21"/>
      <c r="C104" s="24" t="s">
        <v>77</v>
      </c>
      <c r="D104" s="21"/>
      <c r="E104" s="21"/>
      <c r="F104" s="21"/>
      <c r="G104" s="21"/>
      <c r="H104" s="21"/>
      <c r="I104" s="21"/>
    </row>
    <row r="105" spans="1:9" ht="12.75">
      <c r="A105" s="21"/>
      <c r="B105" s="21"/>
      <c r="C105" s="24" t="s">
        <v>78</v>
      </c>
      <c r="D105" s="21"/>
      <c r="E105" s="21"/>
      <c r="F105" s="21"/>
      <c r="G105" s="21"/>
      <c r="H105" s="21"/>
      <c r="I105" s="21"/>
    </row>
    <row r="106" spans="1:9" ht="13.5" thickBot="1">
      <c r="A106" s="25"/>
      <c r="B106" s="25"/>
      <c r="C106" s="26" t="s">
        <v>79</v>
      </c>
      <c r="D106" s="25"/>
      <c r="E106" s="25"/>
      <c r="F106" s="25"/>
      <c r="G106" s="25"/>
      <c r="H106" s="25"/>
      <c r="I106" s="25"/>
    </row>
    <row r="108" spans="2:9" ht="12.75">
      <c r="B108" s="8" t="s">
        <v>80</v>
      </c>
      <c r="I108" s="33" t="s">
        <v>69</v>
      </c>
    </row>
    <row r="109" spans="1:9" ht="12.75">
      <c r="A109" s="17"/>
      <c r="B109" s="17"/>
      <c r="C109" s="22" t="s">
        <v>70</v>
      </c>
      <c r="D109" s="17"/>
      <c r="E109" s="17"/>
      <c r="F109" s="17"/>
      <c r="G109" s="17"/>
      <c r="H109" s="17" t="s">
        <v>72</v>
      </c>
      <c r="I109" s="32">
        <v>1</v>
      </c>
    </row>
    <row r="110" spans="1:9" ht="12.75">
      <c r="A110" s="17"/>
      <c r="B110" s="17"/>
      <c r="C110" s="17"/>
      <c r="D110" s="17" t="s">
        <v>81</v>
      </c>
      <c r="E110" s="17"/>
      <c r="F110" s="17"/>
      <c r="G110" s="17"/>
      <c r="H110" s="17" t="s">
        <v>72</v>
      </c>
      <c r="I110" s="32">
        <v>0.38</v>
      </c>
    </row>
    <row r="111" spans="1:9" ht="12.75">
      <c r="A111" s="17"/>
      <c r="B111" s="17"/>
      <c r="C111" s="17"/>
      <c r="D111" s="17" t="s">
        <v>82</v>
      </c>
      <c r="E111" s="17"/>
      <c r="F111" s="17"/>
      <c r="G111" s="17"/>
      <c r="H111" s="17" t="s">
        <v>72</v>
      </c>
      <c r="I111" s="32">
        <v>0.62</v>
      </c>
    </row>
    <row r="112" spans="1:9" ht="12.75">
      <c r="A112" s="17"/>
      <c r="B112" s="17"/>
      <c r="C112" s="17" t="s">
        <v>83</v>
      </c>
      <c r="D112" s="17"/>
      <c r="E112" s="17"/>
      <c r="F112" s="17"/>
      <c r="G112" s="17"/>
      <c r="H112" s="17"/>
      <c r="I112" s="32"/>
    </row>
    <row r="113" spans="1:9" ht="12.75">
      <c r="A113" s="17"/>
      <c r="B113" s="17"/>
      <c r="C113" s="17"/>
      <c r="D113" s="17" t="s">
        <v>84</v>
      </c>
      <c r="E113" s="17"/>
      <c r="F113" s="17"/>
      <c r="G113" s="17"/>
      <c r="H113" s="17" t="s">
        <v>85</v>
      </c>
      <c r="I113" s="18">
        <v>100</v>
      </c>
    </row>
    <row r="114" spans="1:9" ht="12.75">
      <c r="A114" s="17"/>
      <c r="B114" s="17"/>
      <c r="C114" s="17"/>
      <c r="D114" s="17" t="s">
        <v>86</v>
      </c>
      <c r="E114" s="17"/>
      <c r="F114" s="17"/>
      <c r="G114" s="17"/>
      <c r="H114" s="17" t="s">
        <v>87</v>
      </c>
      <c r="I114" s="18">
        <v>25</v>
      </c>
    </row>
    <row r="115" spans="1:9" ht="12.75">
      <c r="A115" s="17"/>
      <c r="B115" s="17"/>
      <c r="C115" s="17"/>
      <c r="D115" s="17" t="s">
        <v>88</v>
      </c>
      <c r="E115" s="17"/>
      <c r="F115" s="17"/>
      <c r="G115" s="17"/>
      <c r="H115" s="17"/>
      <c r="I115" s="32">
        <v>0.03</v>
      </c>
    </row>
    <row r="116" ht="12.75">
      <c r="H116" s="34"/>
    </row>
    <row r="117" spans="3:9" ht="12.75">
      <c r="C117" s="8" t="s">
        <v>73</v>
      </c>
      <c r="H117" t="s">
        <v>74</v>
      </c>
      <c r="I117" s="34">
        <v>1</v>
      </c>
    </row>
    <row r="118" spans="1:9" ht="12.75">
      <c r="A118" s="17"/>
      <c r="B118" s="17"/>
      <c r="C118" s="17"/>
      <c r="D118" s="17" t="s">
        <v>81</v>
      </c>
      <c r="E118" s="17"/>
      <c r="F118" s="17"/>
      <c r="G118" s="17"/>
      <c r="H118" s="17" t="s">
        <v>74</v>
      </c>
      <c r="I118" s="32">
        <v>0.12</v>
      </c>
    </row>
    <row r="119" spans="1:9" ht="12.75">
      <c r="A119" s="17"/>
      <c r="B119" s="17"/>
      <c r="C119" s="17"/>
      <c r="D119" s="17" t="s">
        <v>82</v>
      </c>
      <c r="E119" s="17"/>
      <c r="F119" s="17"/>
      <c r="G119" s="17"/>
      <c r="H119" s="17" t="s">
        <v>74</v>
      </c>
      <c r="I119" s="32">
        <v>0.88</v>
      </c>
    </row>
    <row r="120" spans="1:9" ht="12.75">
      <c r="A120" s="17"/>
      <c r="B120" s="17"/>
      <c r="C120" s="17" t="s">
        <v>83</v>
      </c>
      <c r="D120" s="17"/>
      <c r="E120" s="17"/>
      <c r="F120" s="17"/>
      <c r="G120" s="17"/>
      <c r="H120" s="17"/>
      <c r="I120" s="32"/>
    </row>
    <row r="121" spans="1:9" ht="12.75">
      <c r="A121" s="17"/>
      <c r="B121" s="17"/>
      <c r="C121" s="17"/>
      <c r="D121" s="17" t="s">
        <v>84</v>
      </c>
      <c r="E121" s="17"/>
      <c r="F121" s="17"/>
      <c r="G121" s="17"/>
      <c r="H121" s="17" t="s">
        <v>85</v>
      </c>
      <c r="I121" s="18">
        <v>25</v>
      </c>
    </row>
    <row r="122" spans="1:9" ht="12.75">
      <c r="A122" s="17"/>
      <c r="B122" s="17"/>
      <c r="C122" s="17"/>
      <c r="D122" s="17" t="s">
        <v>86</v>
      </c>
      <c r="E122" s="17"/>
      <c r="F122" s="17"/>
      <c r="G122" s="17"/>
      <c r="H122" s="17" t="s">
        <v>87</v>
      </c>
      <c r="I122" s="18">
        <v>12</v>
      </c>
    </row>
    <row r="123" spans="1:9" ht="12.75">
      <c r="A123" s="17"/>
      <c r="B123" s="17"/>
      <c r="C123" s="17"/>
      <c r="D123" s="17" t="s">
        <v>88</v>
      </c>
      <c r="E123" s="17"/>
      <c r="F123" s="17"/>
      <c r="G123" s="17"/>
      <c r="H123" s="17"/>
      <c r="I123" s="32">
        <v>0.03</v>
      </c>
    </row>
    <row r="124" ht="12.75">
      <c r="H124" s="1"/>
    </row>
    <row r="125" spans="1:9" ht="12.75">
      <c r="A125" s="17"/>
      <c r="B125" s="17"/>
      <c r="C125" s="22" t="s">
        <v>75</v>
      </c>
      <c r="D125" s="17"/>
      <c r="E125" s="17"/>
      <c r="F125" s="17"/>
      <c r="G125" s="17"/>
      <c r="H125" s="17" t="s">
        <v>76</v>
      </c>
      <c r="I125" s="32">
        <v>0.64</v>
      </c>
    </row>
    <row r="126" spans="1:9" ht="12.75">
      <c r="A126" s="17"/>
      <c r="B126" s="17"/>
      <c r="C126" s="17"/>
      <c r="D126" s="17" t="s">
        <v>81</v>
      </c>
      <c r="E126" s="17"/>
      <c r="F126" s="17"/>
      <c r="G126" s="17"/>
      <c r="H126" s="17" t="s">
        <v>76</v>
      </c>
      <c r="I126" s="35" t="s">
        <v>89</v>
      </c>
    </row>
    <row r="127" spans="1:9" ht="12.75">
      <c r="A127" s="17"/>
      <c r="B127" s="17"/>
      <c r="C127" s="17"/>
      <c r="D127" s="17" t="s">
        <v>82</v>
      </c>
      <c r="E127" s="17"/>
      <c r="F127" s="17"/>
      <c r="G127" s="17"/>
      <c r="H127" s="17" t="s">
        <v>76</v>
      </c>
      <c r="I127" s="35" t="s">
        <v>90</v>
      </c>
    </row>
    <row r="128" spans="1:9" ht="12.75">
      <c r="A128" s="17"/>
      <c r="B128" s="17"/>
      <c r="C128" s="17" t="s">
        <v>91</v>
      </c>
      <c r="D128" s="17"/>
      <c r="E128" s="17"/>
      <c r="F128" s="17"/>
      <c r="G128" s="17"/>
      <c r="H128" s="17"/>
      <c r="I128" s="32"/>
    </row>
    <row r="129" spans="1:9" ht="12.75">
      <c r="A129" s="17"/>
      <c r="B129" s="17"/>
      <c r="C129" s="17"/>
      <c r="D129" s="17" t="s">
        <v>84</v>
      </c>
      <c r="E129" s="17"/>
      <c r="F129" s="17"/>
      <c r="G129" s="17"/>
      <c r="H129" s="17" t="s">
        <v>85</v>
      </c>
      <c r="I129" s="18">
        <v>25</v>
      </c>
    </row>
    <row r="130" spans="1:9" ht="12.75">
      <c r="A130" s="17"/>
      <c r="B130" s="17"/>
      <c r="C130" s="17"/>
      <c r="D130" s="17" t="s">
        <v>86</v>
      </c>
      <c r="E130" s="17"/>
      <c r="F130" s="17"/>
      <c r="G130" s="17"/>
      <c r="H130" s="17" t="s">
        <v>87</v>
      </c>
      <c r="I130" s="18">
        <v>12</v>
      </c>
    </row>
    <row r="131" spans="1:9" ht="12.75">
      <c r="A131" s="17"/>
      <c r="B131" s="17"/>
      <c r="C131" s="22"/>
      <c r="D131" s="17" t="s">
        <v>88</v>
      </c>
      <c r="E131" s="17"/>
      <c r="F131" s="17"/>
      <c r="G131" s="17"/>
      <c r="H131" s="17"/>
      <c r="I131" s="32">
        <v>0.03</v>
      </c>
    </row>
    <row r="132" spans="3:8" ht="12.75">
      <c r="C132" s="8"/>
      <c r="H132" s="34"/>
    </row>
    <row r="133" spans="3:8" ht="12.75">
      <c r="C133" s="8" t="s">
        <v>77</v>
      </c>
      <c r="H133" s="34"/>
    </row>
    <row r="134" spans="2:9" ht="12.75">
      <c r="B134" s="21"/>
      <c r="C134" s="24" t="s">
        <v>78</v>
      </c>
      <c r="D134" s="21"/>
      <c r="E134" s="21"/>
      <c r="F134" s="21"/>
      <c r="G134" s="21"/>
      <c r="H134" s="36"/>
      <c r="I134" s="21"/>
    </row>
    <row r="135" spans="1:9" ht="13.5" thickBot="1">
      <c r="A135" s="25"/>
      <c r="B135" s="25"/>
      <c r="C135" s="26"/>
      <c r="D135" s="25"/>
      <c r="E135" s="25"/>
      <c r="F135" s="25"/>
      <c r="G135" s="25"/>
      <c r="H135" s="37"/>
      <c r="I135" s="25"/>
    </row>
    <row r="136" spans="3:8" ht="12.75">
      <c r="C136" s="8"/>
      <c r="H136" s="34"/>
    </row>
    <row r="137" spans="2:9" ht="12.75">
      <c r="B137" s="38" t="s">
        <v>92</v>
      </c>
      <c r="I137" s="33" t="s">
        <v>69</v>
      </c>
    </row>
    <row r="138" spans="1:9" ht="12.75">
      <c r="A138" s="17"/>
      <c r="B138" s="17"/>
      <c r="C138" s="22" t="s">
        <v>70</v>
      </c>
      <c r="D138" s="17"/>
      <c r="E138" s="17"/>
      <c r="F138" s="17"/>
      <c r="G138" s="17"/>
      <c r="H138" s="17" t="s">
        <v>93</v>
      </c>
      <c r="I138" s="32">
        <v>1</v>
      </c>
    </row>
    <row r="139" spans="1:9" ht="12.75">
      <c r="A139" s="17"/>
      <c r="B139" s="17"/>
      <c r="C139" s="17"/>
      <c r="D139" s="17" t="s">
        <v>81</v>
      </c>
      <c r="E139" s="17"/>
      <c r="F139" s="17"/>
      <c r="G139" s="17"/>
      <c r="H139" s="17" t="s">
        <v>93</v>
      </c>
      <c r="I139" s="32">
        <v>0.38</v>
      </c>
    </row>
    <row r="140" spans="1:9" ht="12.75">
      <c r="A140" s="17"/>
      <c r="B140" s="17"/>
      <c r="C140" s="17"/>
      <c r="D140" s="17" t="s">
        <v>82</v>
      </c>
      <c r="E140" s="17"/>
      <c r="F140" s="17"/>
      <c r="G140" s="17"/>
      <c r="H140" s="17" t="s">
        <v>93</v>
      </c>
      <c r="I140" s="32">
        <v>0.62</v>
      </c>
    </row>
    <row r="141" spans="1:9" ht="12.75">
      <c r="A141" s="17"/>
      <c r="B141" s="17"/>
      <c r="C141" s="17" t="s">
        <v>83</v>
      </c>
      <c r="D141" s="17"/>
      <c r="E141" s="17"/>
      <c r="F141" s="17"/>
      <c r="G141" s="17"/>
      <c r="H141" s="17"/>
      <c r="I141" s="32"/>
    </row>
    <row r="142" spans="1:9" ht="12.75">
      <c r="A142" s="17"/>
      <c r="B142" s="17"/>
      <c r="C142" s="17"/>
      <c r="D142" s="17" t="s">
        <v>84</v>
      </c>
      <c r="E142" s="17"/>
      <c r="F142" s="17"/>
      <c r="G142" s="17"/>
      <c r="H142" s="17" t="s">
        <v>85</v>
      </c>
      <c r="I142" s="18">
        <v>100</v>
      </c>
    </row>
    <row r="143" spans="1:9" ht="12.75">
      <c r="A143" s="17"/>
      <c r="B143" s="17"/>
      <c r="C143" s="17"/>
      <c r="D143" s="17" t="s">
        <v>86</v>
      </c>
      <c r="E143" s="17"/>
      <c r="F143" s="17"/>
      <c r="G143" s="17"/>
      <c r="H143" s="17" t="s">
        <v>87</v>
      </c>
      <c r="I143" s="18">
        <v>25</v>
      </c>
    </row>
    <row r="144" spans="1:9" ht="12.75">
      <c r="A144" s="17"/>
      <c r="B144" s="17"/>
      <c r="C144" s="17"/>
      <c r="D144" s="17" t="s">
        <v>88</v>
      </c>
      <c r="E144" s="17"/>
      <c r="F144" s="17"/>
      <c r="G144" s="17"/>
      <c r="H144" s="17" t="s">
        <v>94</v>
      </c>
      <c r="I144" s="32">
        <v>0.03</v>
      </c>
    </row>
    <row r="145" spans="1:9" ht="12.75">
      <c r="A145" s="17"/>
      <c r="B145" s="17"/>
      <c r="C145" s="17"/>
      <c r="D145" s="17" t="s">
        <v>95</v>
      </c>
      <c r="E145" s="17"/>
      <c r="F145" s="17"/>
      <c r="G145" s="17"/>
      <c r="H145" s="17" t="s">
        <v>96</v>
      </c>
      <c r="I145" s="18">
        <v>100</v>
      </c>
    </row>
    <row r="146" spans="1:9" ht="12.75">
      <c r="A146" s="17"/>
      <c r="B146" s="17"/>
      <c r="C146" s="17"/>
      <c r="D146" s="17"/>
      <c r="E146" s="17"/>
      <c r="F146" s="17"/>
      <c r="G146" s="17"/>
      <c r="H146" s="32"/>
      <c r="I146" s="17"/>
    </row>
    <row r="147" spans="1:9" ht="12.75">
      <c r="A147" s="17"/>
      <c r="B147" s="17"/>
      <c r="C147" s="22" t="s">
        <v>73</v>
      </c>
      <c r="D147" s="17"/>
      <c r="E147" s="17"/>
      <c r="F147" s="17"/>
      <c r="G147" s="17"/>
      <c r="H147" s="17" t="s">
        <v>74</v>
      </c>
      <c r="I147" s="32">
        <v>1</v>
      </c>
    </row>
    <row r="148" spans="1:9" ht="12.75">
      <c r="A148" s="17"/>
      <c r="B148" s="17"/>
      <c r="C148" s="17"/>
      <c r="D148" s="17" t="s">
        <v>81</v>
      </c>
      <c r="E148" s="17"/>
      <c r="F148" s="17"/>
      <c r="G148" s="17"/>
      <c r="H148" s="17" t="s">
        <v>74</v>
      </c>
      <c r="I148" s="32">
        <v>0.12</v>
      </c>
    </row>
    <row r="149" spans="1:9" ht="12.75">
      <c r="A149" s="17"/>
      <c r="B149" s="17"/>
      <c r="C149" s="17"/>
      <c r="D149" s="17" t="s">
        <v>82</v>
      </c>
      <c r="E149" s="17"/>
      <c r="F149" s="17"/>
      <c r="G149" s="17"/>
      <c r="H149" s="17" t="s">
        <v>74</v>
      </c>
      <c r="I149" s="32">
        <v>0.88</v>
      </c>
    </row>
    <row r="150" spans="1:9" ht="12.75">
      <c r="A150" s="17"/>
      <c r="B150" s="17"/>
      <c r="C150" s="17" t="s">
        <v>83</v>
      </c>
      <c r="D150" s="17"/>
      <c r="E150" s="17"/>
      <c r="F150" s="17"/>
      <c r="G150" s="17"/>
      <c r="H150" s="17"/>
      <c r="I150" s="32"/>
    </row>
    <row r="151" spans="1:9" ht="12.75">
      <c r="A151" s="17"/>
      <c r="B151" s="17"/>
      <c r="C151" s="17"/>
      <c r="D151" s="17" t="s">
        <v>84</v>
      </c>
      <c r="E151" s="17"/>
      <c r="F151" s="17"/>
      <c r="G151" s="17"/>
      <c r="H151" s="17" t="s">
        <v>85</v>
      </c>
      <c r="I151" s="18">
        <v>25</v>
      </c>
    </row>
    <row r="152" spans="1:9" ht="12.75">
      <c r="A152" s="17"/>
      <c r="B152" s="17"/>
      <c r="C152" s="17"/>
      <c r="D152" s="17" t="s">
        <v>86</v>
      </c>
      <c r="E152" s="17"/>
      <c r="F152" s="17"/>
      <c r="G152" s="17"/>
      <c r="H152" s="17" t="s">
        <v>87</v>
      </c>
      <c r="I152" s="18">
        <v>12</v>
      </c>
    </row>
    <row r="153" spans="1:9" ht="12.75">
      <c r="A153" s="17"/>
      <c r="B153" s="17"/>
      <c r="C153" s="17"/>
      <c r="D153" s="17" t="s">
        <v>88</v>
      </c>
      <c r="E153" s="17"/>
      <c r="F153" s="17"/>
      <c r="G153" s="17"/>
      <c r="H153" s="17" t="s">
        <v>94</v>
      </c>
      <c r="I153" s="32">
        <v>0.03</v>
      </c>
    </row>
    <row r="154" spans="1:9" ht="12.75">
      <c r="A154" s="17"/>
      <c r="B154" s="17"/>
      <c r="C154" s="17"/>
      <c r="D154" s="17" t="s">
        <v>95</v>
      </c>
      <c r="E154" s="17"/>
      <c r="F154" s="17"/>
      <c r="G154" s="17"/>
      <c r="H154" s="17" t="s">
        <v>85</v>
      </c>
      <c r="I154" s="18">
        <v>25</v>
      </c>
    </row>
    <row r="155" spans="1:9" ht="12.75">
      <c r="A155" s="17"/>
      <c r="B155" s="17"/>
      <c r="C155" s="17"/>
      <c r="D155" s="17"/>
      <c r="E155" s="17"/>
      <c r="F155" s="17"/>
      <c r="G155" s="17"/>
      <c r="H155" s="18"/>
      <c r="I155" s="17"/>
    </row>
    <row r="156" spans="1:9" ht="12.75">
      <c r="A156" s="17"/>
      <c r="B156" s="17"/>
      <c r="C156" s="22" t="s">
        <v>75</v>
      </c>
      <c r="D156" s="17"/>
      <c r="E156" s="17"/>
      <c r="F156" s="17"/>
      <c r="G156" s="17"/>
      <c r="H156" s="17" t="s">
        <v>76</v>
      </c>
      <c r="I156" s="32">
        <v>0.74</v>
      </c>
    </row>
    <row r="157" spans="1:9" ht="12.75">
      <c r="A157" s="17"/>
      <c r="B157" s="17"/>
      <c r="C157" s="17"/>
      <c r="D157" s="17" t="s">
        <v>81</v>
      </c>
      <c r="E157" s="17"/>
      <c r="F157" s="17"/>
      <c r="G157" s="17"/>
      <c r="H157" s="17" t="s">
        <v>97</v>
      </c>
      <c r="I157" s="35" t="s">
        <v>98</v>
      </c>
    </row>
    <row r="158" spans="1:9" ht="12.75">
      <c r="A158" s="17"/>
      <c r="B158" s="17"/>
      <c r="C158" s="17"/>
      <c r="D158" s="17" t="s">
        <v>82</v>
      </c>
      <c r="E158" s="17"/>
      <c r="F158" s="17"/>
      <c r="G158" s="17"/>
      <c r="H158" s="17" t="s">
        <v>97</v>
      </c>
      <c r="I158" s="35" t="s">
        <v>99</v>
      </c>
    </row>
    <row r="159" spans="1:9" ht="12.75">
      <c r="A159" s="17"/>
      <c r="B159" s="17"/>
      <c r="C159" s="17" t="s">
        <v>83</v>
      </c>
      <c r="D159" s="17"/>
      <c r="E159" s="17"/>
      <c r="F159" s="17"/>
      <c r="G159" s="17"/>
      <c r="H159" s="17"/>
      <c r="I159" s="32"/>
    </row>
    <row r="160" spans="1:9" ht="12.75">
      <c r="A160" s="17"/>
      <c r="B160" s="17"/>
      <c r="C160" s="17"/>
      <c r="D160" s="17" t="s">
        <v>84</v>
      </c>
      <c r="E160" s="17"/>
      <c r="F160" s="17"/>
      <c r="G160" s="17"/>
      <c r="H160" s="17" t="s">
        <v>85</v>
      </c>
      <c r="I160" s="18">
        <v>25</v>
      </c>
    </row>
    <row r="161" spans="1:9" ht="12.75">
      <c r="A161" s="17"/>
      <c r="B161" s="17"/>
      <c r="C161" s="17"/>
      <c r="D161" s="17" t="s">
        <v>86</v>
      </c>
      <c r="E161" s="17"/>
      <c r="F161" s="17"/>
      <c r="G161" s="17"/>
      <c r="H161" s="17" t="s">
        <v>87</v>
      </c>
      <c r="I161" s="18">
        <v>12</v>
      </c>
    </row>
    <row r="162" spans="1:9" ht="12.75">
      <c r="A162" s="17"/>
      <c r="B162" s="17"/>
      <c r="C162" s="22"/>
      <c r="D162" s="17" t="s">
        <v>88</v>
      </c>
      <c r="E162" s="17"/>
      <c r="F162" s="17"/>
      <c r="G162" s="17"/>
      <c r="H162" s="17" t="s">
        <v>94</v>
      </c>
      <c r="I162" s="32">
        <v>0.03</v>
      </c>
    </row>
    <row r="163" spans="1:9" ht="12.75">
      <c r="A163" s="17"/>
      <c r="B163" s="17"/>
      <c r="C163" s="17"/>
      <c r="D163" s="17" t="s">
        <v>95</v>
      </c>
      <c r="E163" s="17"/>
      <c r="F163" s="17"/>
      <c r="G163" s="17"/>
      <c r="H163" s="17" t="s">
        <v>85</v>
      </c>
      <c r="I163" s="18">
        <v>25</v>
      </c>
    </row>
    <row r="165" ht="12.75">
      <c r="C165" s="8" t="s">
        <v>77</v>
      </c>
    </row>
    <row r="166" spans="3:6" ht="12.75">
      <c r="C166" s="24" t="s">
        <v>78</v>
      </c>
      <c r="D166" s="21"/>
      <c r="E166" s="21"/>
      <c r="F166" s="21"/>
    </row>
    <row r="167" spans="3:6" ht="12.75">
      <c r="C167" s="24"/>
      <c r="D167" s="21"/>
      <c r="E167" s="21"/>
      <c r="F167" s="21"/>
    </row>
    <row r="168" spans="1:9" ht="13.5" thickBot="1">
      <c r="A168" s="25"/>
      <c r="B168" s="25"/>
      <c r="C168" s="25"/>
      <c r="D168" s="25"/>
      <c r="E168" s="25"/>
      <c r="F168" s="25"/>
      <c r="G168" s="25"/>
      <c r="H168" s="25"/>
      <c r="I168" s="25"/>
    </row>
    <row r="170" spans="2:9" ht="12.75">
      <c r="B170" s="38" t="s">
        <v>100</v>
      </c>
      <c r="I170" s="33" t="s">
        <v>69</v>
      </c>
    </row>
    <row r="171" spans="1:9" ht="12.75">
      <c r="A171" s="17"/>
      <c r="B171" s="17"/>
      <c r="C171" s="22" t="s">
        <v>70</v>
      </c>
      <c r="D171" s="17"/>
      <c r="E171" s="17"/>
      <c r="F171" s="17"/>
      <c r="G171" s="17"/>
      <c r="H171" s="17" t="s">
        <v>72</v>
      </c>
      <c r="I171" s="32">
        <v>1</v>
      </c>
    </row>
    <row r="172" spans="1:9" ht="12.75">
      <c r="A172" s="17"/>
      <c r="B172" s="17"/>
      <c r="C172" s="17"/>
      <c r="D172" s="17" t="s">
        <v>81</v>
      </c>
      <c r="E172" s="17"/>
      <c r="F172" s="17"/>
      <c r="G172" s="17"/>
      <c r="H172" s="17" t="s">
        <v>72</v>
      </c>
      <c r="I172" s="32">
        <v>0.38</v>
      </c>
    </row>
    <row r="173" spans="1:9" ht="12.75">
      <c r="A173" s="17"/>
      <c r="B173" s="17"/>
      <c r="C173" s="17"/>
      <c r="D173" s="17" t="s">
        <v>82</v>
      </c>
      <c r="E173" s="17"/>
      <c r="F173" s="17"/>
      <c r="G173" s="17"/>
      <c r="H173" s="17" t="s">
        <v>72</v>
      </c>
      <c r="I173" s="32">
        <v>0.62</v>
      </c>
    </row>
    <row r="174" spans="1:9" ht="12.75">
      <c r="A174" s="17"/>
      <c r="B174" s="17"/>
      <c r="C174" s="17" t="s">
        <v>83</v>
      </c>
      <c r="D174" s="17"/>
      <c r="E174" s="17"/>
      <c r="F174" s="17"/>
      <c r="G174" s="17"/>
      <c r="H174" s="17"/>
      <c r="I174" s="32"/>
    </row>
    <row r="175" spans="1:9" ht="12.75">
      <c r="A175" s="17"/>
      <c r="B175" s="17"/>
      <c r="C175" s="17"/>
      <c r="D175" s="17" t="s">
        <v>84</v>
      </c>
      <c r="E175" s="17"/>
      <c r="F175" s="17"/>
      <c r="G175" s="17"/>
      <c r="H175" s="17" t="s">
        <v>85</v>
      </c>
      <c r="I175" s="18">
        <v>100</v>
      </c>
    </row>
    <row r="176" spans="1:9" ht="12.75">
      <c r="A176" s="17"/>
      <c r="B176" s="17"/>
      <c r="C176" s="17"/>
      <c r="D176" s="17" t="s">
        <v>86</v>
      </c>
      <c r="E176" s="17"/>
      <c r="F176" s="17"/>
      <c r="G176" s="17"/>
      <c r="H176" s="17" t="s">
        <v>87</v>
      </c>
      <c r="I176" s="18">
        <v>25</v>
      </c>
    </row>
    <row r="177" spans="1:9" ht="12.75">
      <c r="A177" s="17"/>
      <c r="B177" s="17"/>
      <c r="C177" s="17"/>
      <c r="D177" s="17" t="s">
        <v>88</v>
      </c>
      <c r="E177" s="17"/>
      <c r="F177" s="17"/>
      <c r="G177" s="17"/>
      <c r="H177" s="17" t="s">
        <v>94</v>
      </c>
      <c r="I177" s="32">
        <v>0.03</v>
      </c>
    </row>
    <row r="178" spans="1:9" ht="12.75">
      <c r="A178" s="17"/>
      <c r="B178" s="17"/>
      <c r="C178" s="17"/>
      <c r="D178" s="17" t="s">
        <v>95</v>
      </c>
      <c r="E178" s="17"/>
      <c r="F178" s="17"/>
      <c r="G178" s="17"/>
      <c r="H178" s="17" t="s">
        <v>96</v>
      </c>
      <c r="I178" s="18">
        <v>100</v>
      </c>
    </row>
    <row r="179" spans="1:9" ht="12.75">
      <c r="A179" s="17"/>
      <c r="B179" s="17"/>
      <c r="C179" s="17"/>
      <c r="D179" s="17" t="s">
        <v>101</v>
      </c>
      <c r="E179" s="17"/>
      <c r="F179" s="17"/>
      <c r="G179" s="17"/>
      <c r="H179" s="17" t="s">
        <v>102</v>
      </c>
      <c r="I179" s="18">
        <v>100</v>
      </c>
    </row>
    <row r="180" spans="1:9" ht="12.75">
      <c r="A180" s="17"/>
      <c r="B180" s="17"/>
      <c r="C180" s="17"/>
      <c r="D180" s="17"/>
      <c r="E180" s="17"/>
      <c r="F180" s="17"/>
      <c r="G180" s="17"/>
      <c r="H180" s="17"/>
      <c r="I180" s="32"/>
    </row>
    <row r="181" spans="1:9" ht="12.75">
      <c r="A181" s="17"/>
      <c r="B181" s="17"/>
      <c r="C181" s="22" t="s">
        <v>73</v>
      </c>
      <c r="D181" s="17"/>
      <c r="E181" s="17"/>
      <c r="F181" s="17"/>
      <c r="G181" s="17"/>
      <c r="H181" s="17" t="s">
        <v>74</v>
      </c>
      <c r="I181" s="32">
        <v>1</v>
      </c>
    </row>
    <row r="182" spans="1:9" ht="12.75">
      <c r="A182" s="17"/>
      <c r="B182" s="17"/>
      <c r="C182" s="17"/>
      <c r="D182" s="17" t="s">
        <v>81</v>
      </c>
      <c r="E182" s="17"/>
      <c r="F182" s="17"/>
      <c r="G182" s="17"/>
      <c r="H182" s="17" t="s">
        <v>74</v>
      </c>
      <c r="I182" s="32">
        <v>0.12</v>
      </c>
    </row>
    <row r="183" spans="1:9" ht="12.75">
      <c r="A183" s="17"/>
      <c r="B183" s="17"/>
      <c r="C183" s="17"/>
      <c r="D183" s="17" t="s">
        <v>82</v>
      </c>
      <c r="E183" s="17"/>
      <c r="F183" s="17"/>
      <c r="G183" s="17"/>
      <c r="H183" s="17" t="s">
        <v>74</v>
      </c>
      <c r="I183" s="32">
        <v>0.88</v>
      </c>
    </row>
    <row r="184" spans="1:9" ht="12.75">
      <c r="A184" s="17"/>
      <c r="B184" s="17"/>
      <c r="C184" s="17" t="s">
        <v>83</v>
      </c>
      <c r="D184" s="17"/>
      <c r="E184" s="17"/>
      <c r="F184" s="17"/>
      <c r="G184" s="17"/>
      <c r="H184" s="17"/>
      <c r="I184" s="32"/>
    </row>
    <row r="185" spans="1:9" ht="12.75">
      <c r="A185" s="17"/>
      <c r="B185" s="17"/>
      <c r="C185" s="17"/>
      <c r="D185" s="17" t="s">
        <v>84</v>
      </c>
      <c r="E185" s="17"/>
      <c r="F185" s="17"/>
      <c r="G185" s="17"/>
      <c r="H185" s="17" t="s">
        <v>85</v>
      </c>
      <c r="I185" s="18">
        <v>25</v>
      </c>
    </row>
    <row r="186" spans="1:9" ht="12.75">
      <c r="A186" s="17"/>
      <c r="B186" s="17"/>
      <c r="C186" s="17"/>
      <c r="D186" s="17" t="s">
        <v>86</v>
      </c>
      <c r="E186" s="17"/>
      <c r="F186" s="17"/>
      <c r="G186" s="17"/>
      <c r="H186" s="17" t="s">
        <v>87</v>
      </c>
      <c r="I186" s="18">
        <v>12</v>
      </c>
    </row>
    <row r="187" spans="1:9" ht="12.75">
      <c r="A187" s="17"/>
      <c r="B187" s="17"/>
      <c r="C187" s="17"/>
      <c r="D187" s="17" t="s">
        <v>88</v>
      </c>
      <c r="E187" s="17"/>
      <c r="F187" s="17"/>
      <c r="G187" s="17"/>
      <c r="H187" s="17" t="s">
        <v>94</v>
      </c>
      <c r="I187" s="32">
        <v>0.03</v>
      </c>
    </row>
    <row r="188" spans="1:9" ht="12.75">
      <c r="A188" s="17"/>
      <c r="B188" s="17"/>
      <c r="C188" s="17"/>
      <c r="D188" s="17" t="s">
        <v>95</v>
      </c>
      <c r="E188" s="17"/>
      <c r="F188" s="17"/>
      <c r="G188" s="17"/>
      <c r="H188" s="17" t="s">
        <v>85</v>
      </c>
      <c r="I188" s="18">
        <v>25</v>
      </c>
    </row>
    <row r="189" spans="1:9" ht="12.75">
      <c r="A189" s="17"/>
      <c r="B189" s="17"/>
      <c r="C189" s="17"/>
      <c r="D189" s="17" t="s">
        <v>101</v>
      </c>
      <c r="E189" s="17"/>
      <c r="F189" s="17"/>
      <c r="G189" s="17"/>
      <c r="H189" s="17" t="s">
        <v>102</v>
      </c>
      <c r="I189" s="18">
        <v>100</v>
      </c>
    </row>
    <row r="190" spans="1:9" ht="12.75">
      <c r="A190" s="17"/>
      <c r="B190" s="17"/>
      <c r="C190" s="17"/>
      <c r="D190" s="17"/>
      <c r="E190" s="17"/>
      <c r="F190" s="17"/>
      <c r="G190" s="17"/>
      <c r="H190" s="17"/>
      <c r="I190" s="18"/>
    </row>
    <row r="191" spans="1:9" ht="12.75">
      <c r="A191" s="17"/>
      <c r="B191" s="17"/>
      <c r="C191" s="22" t="s">
        <v>75</v>
      </c>
      <c r="D191" s="17"/>
      <c r="E191" s="17"/>
      <c r="F191" s="17"/>
      <c r="G191" s="17"/>
      <c r="H191" s="17" t="s">
        <v>76</v>
      </c>
      <c r="I191" s="32">
        <v>1</v>
      </c>
    </row>
    <row r="192" spans="1:9" ht="12.75">
      <c r="A192" s="17"/>
      <c r="B192" s="17"/>
      <c r="C192" s="17"/>
      <c r="D192" s="17" t="s">
        <v>81</v>
      </c>
      <c r="E192" s="17"/>
      <c r="F192" s="17"/>
      <c r="G192" s="17"/>
      <c r="H192" s="17" t="s">
        <v>97</v>
      </c>
      <c r="I192" s="35">
        <v>0.12</v>
      </c>
    </row>
    <row r="193" spans="1:9" ht="12.75">
      <c r="A193" s="17"/>
      <c r="B193" s="17"/>
      <c r="C193" s="17"/>
      <c r="D193" s="17" t="s">
        <v>82</v>
      </c>
      <c r="E193" s="17"/>
      <c r="F193" s="17"/>
      <c r="G193" s="17"/>
      <c r="H193" s="17" t="s">
        <v>97</v>
      </c>
      <c r="I193" s="35">
        <v>0.88</v>
      </c>
    </row>
    <row r="194" spans="1:9" ht="12.75">
      <c r="A194" s="17"/>
      <c r="B194" s="17"/>
      <c r="C194" s="17" t="s">
        <v>83</v>
      </c>
      <c r="D194" s="17"/>
      <c r="E194" s="17"/>
      <c r="F194" s="17"/>
      <c r="G194" s="17"/>
      <c r="H194" s="17"/>
      <c r="I194" s="32"/>
    </row>
    <row r="195" spans="1:9" ht="12.75">
      <c r="A195" s="17"/>
      <c r="B195" s="17"/>
      <c r="C195" s="17"/>
      <c r="D195" s="17" t="s">
        <v>84</v>
      </c>
      <c r="E195" s="17"/>
      <c r="F195" s="17"/>
      <c r="G195" s="17"/>
      <c r="H195" s="17" t="s">
        <v>85</v>
      </c>
      <c r="I195" s="18">
        <v>25</v>
      </c>
    </row>
    <row r="196" spans="1:9" ht="12.75">
      <c r="A196" s="17"/>
      <c r="B196" s="17"/>
      <c r="C196" s="17"/>
      <c r="D196" s="17" t="s">
        <v>86</v>
      </c>
      <c r="E196" s="17"/>
      <c r="F196" s="17"/>
      <c r="G196" s="17"/>
      <c r="H196" s="17" t="s">
        <v>87</v>
      </c>
      <c r="I196" s="18">
        <v>12</v>
      </c>
    </row>
    <row r="197" spans="1:9" ht="12.75">
      <c r="A197" s="17"/>
      <c r="B197" s="17"/>
      <c r="C197" s="22"/>
      <c r="D197" s="17" t="s">
        <v>88</v>
      </c>
      <c r="E197" s="17"/>
      <c r="F197" s="17"/>
      <c r="G197" s="17"/>
      <c r="H197" s="17" t="s">
        <v>94</v>
      </c>
      <c r="I197" s="32">
        <v>0.03</v>
      </c>
    </row>
    <row r="198" spans="1:9" ht="12.75">
      <c r="A198" s="17"/>
      <c r="B198" s="17"/>
      <c r="C198" s="17"/>
      <c r="D198" s="17" t="s">
        <v>95</v>
      </c>
      <c r="E198" s="17"/>
      <c r="F198" s="17"/>
      <c r="G198" s="17"/>
      <c r="H198" s="17" t="s">
        <v>85</v>
      </c>
      <c r="I198" s="18">
        <v>25</v>
      </c>
    </row>
    <row r="199" spans="1:9" ht="12.75">
      <c r="A199" s="17"/>
      <c r="B199" s="17"/>
      <c r="C199" s="17"/>
      <c r="D199" s="17" t="s">
        <v>101</v>
      </c>
      <c r="E199" s="17"/>
      <c r="F199" s="17"/>
      <c r="G199" s="17"/>
      <c r="H199" s="17" t="s">
        <v>102</v>
      </c>
      <c r="I199" s="18">
        <v>100</v>
      </c>
    </row>
    <row r="201" ht="12.75">
      <c r="C201" s="8" t="s">
        <v>77</v>
      </c>
    </row>
    <row r="202" spans="3:6" ht="12.75">
      <c r="C202" s="24" t="s">
        <v>78</v>
      </c>
      <c r="D202" s="21"/>
      <c r="E202" s="21"/>
      <c r="F202" s="21"/>
    </row>
    <row r="203" spans="1:9" ht="13.5" thickBot="1">
      <c r="A203" s="25"/>
      <c r="B203" s="25"/>
      <c r="C203" s="25"/>
      <c r="D203" s="25"/>
      <c r="E203" s="25"/>
      <c r="F203" s="25"/>
      <c r="G203" s="25"/>
      <c r="H203" s="25"/>
      <c r="I203" s="2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S.C. Judicial Dept.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TLeverette</dc:creator>
  <cp:keywords/>
  <dc:description/>
  <cp:lastModifiedBy>mbaughman</cp:lastModifiedBy>
  <cp:lastPrinted>2005-09-29T15:16:40Z</cp:lastPrinted>
  <dcterms:created xsi:type="dcterms:W3CDTF">2002-06-17T14:24:35Z</dcterms:created>
  <dcterms:modified xsi:type="dcterms:W3CDTF">2006-06-21T18:52:46Z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